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autoCompressPictures="0"/>
  <mc:AlternateContent xmlns:mc="http://schemas.openxmlformats.org/markup-compatibility/2006">
    <mc:Choice Requires="x15">
      <x15ac:absPath xmlns:x15ac="http://schemas.microsoft.com/office/spreadsheetml/2010/11/ac" url="Z:\Conflict Minerals\Qorvo Responsible Minerals\003 -  CMRTs and Customer Data\2020 Qorvo MRTs\"/>
    </mc:Choice>
  </mc:AlternateContent>
  <xr:revisionPtr revIDLastSave="0" documentId="8_{91E5A786-BE4C-4B3F-9EFF-DF3239D745AF}" xr6:coauthVersionLast="46" xr6:coauthVersionMax="46" xr10:uidLastSave="{00000000-0000-0000-0000-000000000000}"/>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2" i="5" l="1"/>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s="1"/>
  <c r="B42" i="6"/>
  <c r="G42" i="6" s="1"/>
  <c r="H42" i="6" s="1"/>
  <c r="D42" i="6" s="1"/>
  <c r="B41" i="6"/>
  <c r="G41" i="6" s="1"/>
  <c r="H41" i="6" s="1"/>
  <c r="D41" i="6" s="1"/>
  <c r="B40" i="6"/>
  <c r="G40" i="6" s="1"/>
  <c r="B38" i="6"/>
  <c r="G38" i="6" s="1"/>
  <c r="B37" i="6"/>
  <c r="G37" i="6"/>
  <c r="B36" i="6"/>
  <c r="G36" i="6" s="1"/>
  <c r="H36" i="6" s="1"/>
  <c r="D36" i="6" s="1"/>
  <c r="B35" i="6"/>
  <c r="G35" i="6" s="1"/>
  <c r="B33" i="6"/>
  <c r="G33" i="6" s="1"/>
  <c r="B32" i="6"/>
  <c r="G32" i="6"/>
  <c r="B31" i="6"/>
  <c r="G31" i="6" s="1"/>
  <c r="H31" i="6" s="1"/>
  <c r="D31" i="6" s="1"/>
  <c r="B30" i="6"/>
  <c r="G30" i="6" s="1"/>
  <c r="B28" i="6"/>
  <c r="G28" i="6"/>
  <c r="B27" i="6"/>
  <c r="G27" i="6"/>
  <c r="B26" i="6"/>
  <c r="G26" i="6"/>
  <c r="B25" i="6"/>
  <c r="G25" i="6" s="1"/>
  <c r="B23" i="6"/>
  <c r="G23" i="6" s="1"/>
  <c r="B18" i="6"/>
  <c r="F23" i="6" s="1"/>
  <c r="B22" i="6"/>
  <c r="G22" i="6"/>
  <c r="B21" i="6"/>
  <c r="G21" i="6" s="1"/>
  <c r="H21" i="6" s="1"/>
  <c r="D21" i="6" s="1"/>
  <c r="B20" i="6"/>
  <c r="G20" i="6" s="1"/>
  <c r="B17" i="6"/>
  <c r="B16" i="6"/>
  <c r="G16" i="6" s="1"/>
  <c r="H16" i="6" s="1"/>
  <c r="D16" i="6" s="1"/>
  <c r="B15" i="6"/>
  <c r="F20" i="6" s="1"/>
  <c r="H14" i="6"/>
  <c r="B13" i="6"/>
  <c r="G13" i="6"/>
  <c r="H13" i="6"/>
  <c r="B12" i="6"/>
  <c r="G12" i="6" s="1"/>
  <c r="H12" i="6" s="1"/>
  <c r="D12" i="6" s="1"/>
  <c r="B11" i="6"/>
  <c r="G11" i="6" s="1"/>
  <c r="H11" i="6" s="1"/>
  <c r="D11" i="6" s="1"/>
  <c r="B10" i="6"/>
  <c r="G10" i="6" s="1"/>
  <c r="H10" i="6" s="1"/>
  <c r="D10" i="6" s="1"/>
  <c r="B9" i="6"/>
  <c r="G9" i="6" s="1"/>
  <c r="H9" i="6" s="1"/>
  <c r="D9" i="6" s="1"/>
  <c r="B8" i="6"/>
  <c r="G8" i="6"/>
  <c r="H8" i="6" s="1"/>
  <c r="D8" i="6" s="1"/>
  <c r="B7" i="6"/>
  <c r="G7" i="6"/>
  <c r="H7" i="6" s="1"/>
  <c r="D7" i="6" s="1"/>
  <c r="B4" i="6"/>
  <c r="G4" i="6"/>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s="1"/>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D13" i="6"/>
  <c r="G18" i="6"/>
  <c r="H18" i="6"/>
  <c r="D18" i="6"/>
  <c r="F32" i="6"/>
  <c r="H32" i="6" s="1"/>
  <c r="D32" i="6" s="1"/>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1435" i="5"/>
  <c r="H549" i="5"/>
  <c r="I549" i="5"/>
  <c r="J513" i="5"/>
  <c r="I441" i="5"/>
  <c r="J441" i="5"/>
  <c r="E441" i="5"/>
  <c r="X441" i="5" s="1"/>
  <c r="G441" i="5"/>
  <c r="H361" i="5"/>
  <c r="J36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F26" i="6"/>
  <c r="H26" i="6" s="1"/>
  <c r="D26" i="6" s="1"/>
  <c r="F31" i="6"/>
  <c r="F4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H43" i="5"/>
  <c r="R43"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S85" i="5"/>
  <c r="S65" i="5"/>
  <c r="S33" i="5"/>
  <c r="T32" i="5"/>
  <c r="T57" i="5"/>
  <c r="S63" i="5"/>
  <c r="S39" i="5"/>
  <c r="T53" i="5"/>
  <c r="T39" i="5"/>
  <c r="S81" i="5"/>
  <c r="S59" i="5"/>
  <c r="S53" i="5"/>
  <c r="T33" i="5"/>
  <c r="S71" i="5"/>
  <c r="T85" i="5"/>
  <c r="S82" i="5"/>
  <c r="S80" i="5"/>
  <c r="T63" i="5"/>
  <c r="S43" i="5"/>
  <c r="S49" i="5"/>
  <c r="S91" i="5"/>
  <c r="T49" i="5"/>
  <c r="T88" i="5"/>
  <c r="S45" i="5"/>
  <c r="S83" i="5"/>
  <c r="T92" i="5"/>
  <c r="T37" i="5"/>
  <c r="S68" i="5"/>
  <c r="T68" i="5"/>
  <c r="T82" i="5"/>
  <c r="T87" i="5"/>
  <c r="T56" i="5"/>
  <c r="T45" i="5"/>
  <c r="T80" i="5"/>
  <c r="T91" i="5"/>
  <c r="T65" i="5"/>
  <c r="T86" i="5"/>
  <c r="F43" i="6" l="1"/>
  <c r="H43" i="6" s="1"/>
  <c r="D43" i="6" s="1"/>
  <c r="H23" i="6"/>
  <c r="D23" i="6" s="1"/>
  <c r="F38" i="6"/>
  <c r="H38" i="6" s="1"/>
  <c r="D38" i="6" s="1"/>
  <c r="F33" i="6"/>
  <c r="H33" i="6" s="1"/>
  <c r="D33" i="6" s="1"/>
  <c r="F28" i="6"/>
  <c r="H28" i="6" s="1"/>
  <c r="D28"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8" i="6" s="1"/>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C13" i="6" s="1"/>
  <c r="M4" i="5"/>
  <c r="I4" i="6"/>
  <c r="J54" i="6"/>
  <c r="J12" i="6"/>
  <c r="A49" i="2"/>
  <c r="I16" i="6"/>
  <c r="C16" i="6" s="1"/>
  <c r="I53" i="6"/>
  <c r="J28" i="6"/>
  <c r="B4" i="3"/>
  <c r="B20" i="4"/>
  <c r="A11" i="6" s="1"/>
  <c r="B22" i="4"/>
  <c r="A13" i="6" s="1"/>
  <c r="J6" i="6"/>
  <c r="J40" i="6"/>
  <c r="H4" i="5"/>
  <c r="J25" i="6"/>
  <c r="A9" i="2"/>
  <c r="J4" i="5"/>
  <c r="J23" i="6"/>
  <c r="H4" i="8"/>
  <c r="A1" i="2"/>
  <c r="H63" i="5"/>
  <c r="F63" i="5"/>
  <c r="J63" i="5"/>
  <c r="E63" i="5"/>
  <c r="X63" i="5" s="1"/>
  <c r="I63" i="5"/>
  <c r="I43" i="5"/>
  <c r="A23" i="2"/>
  <c r="B63" i="4"/>
  <c r="A45" i="6" s="1"/>
  <c r="B73" i="4"/>
  <c r="A51" i="6" s="1"/>
  <c r="B67" i="4"/>
  <c r="A48" i="6" s="1"/>
  <c r="B77" i="4"/>
  <c r="A54" i="6" s="1"/>
  <c r="B75" i="4"/>
  <c r="A53" i="6" s="1"/>
  <c r="B71" i="4"/>
  <c r="A50" i="6" s="1"/>
  <c r="B32" i="4"/>
  <c r="B50" i="4" s="1"/>
  <c r="A35" i="6" s="1"/>
  <c r="B79" i="4"/>
  <c r="A55" i="6"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AB672" i="5"/>
  <c r="AB528" i="5"/>
  <c r="R666"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H1501" i="5"/>
  <c r="G1194" i="5"/>
  <c r="J1042" i="5"/>
  <c r="H2330" i="5"/>
  <c r="I922" i="5"/>
  <c r="E630" i="5"/>
  <c r="X630" i="5" s="1"/>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H1570" i="5" s="1"/>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J2442" i="5" s="1"/>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I1778" i="5"/>
  <c r="R1138" i="5"/>
  <c r="E1138" i="5"/>
  <c r="X1138" i="5" s="1"/>
  <c r="I1138" i="5"/>
  <c r="V2493" i="5"/>
  <c r="AB2493" i="5"/>
  <c r="V2477" i="5"/>
  <c r="H2477" i="5" s="1"/>
  <c r="AB2477" i="5"/>
  <c r="V2469" i="5"/>
  <c r="AB2469" i="5"/>
  <c r="V2461" i="5"/>
  <c r="G2461" i="5" s="1"/>
  <c r="V2453" i="5"/>
  <c r="G2453" i="5" s="1"/>
  <c r="V2445" i="5"/>
  <c r="G2445" i="5" s="1"/>
  <c r="AB2445" i="5"/>
  <c r="V2437" i="5"/>
  <c r="G2437" i="5" s="1"/>
  <c r="AB2437" i="5"/>
  <c r="V2421" i="5"/>
  <c r="J2421" i="5" s="1"/>
  <c r="AB2421" i="5"/>
  <c r="V2413" i="5"/>
  <c r="H2413" i="5" s="1"/>
  <c r="AB2413" i="5"/>
  <c r="V2389" i="5"/>
  <c r="AB2389" i="5"/>
  <c r="V2357" i="5"/>
  <c r="AB2357" i="5"/>
  <c r="E2293" i="5"/>
  <c r="X2293" i="5" s="1"/>
  <c r="F2293" i="5"/>
  <c r="I2293" i="5"/>
  <c r="R2285" i="5"/>
  <c r="I2285" i="5"/>
  <c r="V2277" i="5"/>
  <c r="G2277" i="5" s="1"/>
  <c r="V2261" i="5"/>
  <c r="F2261" i="5" s="1"/>
  <c r="AB2261" i="5"/>
  <c r="V2245" i="5"/>
  <c r="V2221" i="5"/>
  <c r="R2221" i="5" s="1"/>
  <c r="AB2221" i="5"/>
  <c r="H2213" i="5"/>
  <c r="I2213" i="5"/>
  <c r="F2213" i="5"/>
  <c r="G2197" i="5"/>
  <c r="I2197" i="5"/>
  <c r="E2181" i="5"/>
  <c r="X2181" i="5" s="1"/>
  <c r="R2181" i="5"/>
  <c r="H2181" i="5"/>
  <c r="V2141" i="5"/>
  <c r="AB2141" i="5"/>
  <c r="V2125" i="5"/>
  <c r="AB2125" i="5"/>
  <c r="V2117" i="5"/>
  <c r="E2117" i="5" s="1"/>
  <c r="X2117" i="5" s="1"/>
  <c r="AB2117" i="5"/>
  <c r="V2109" i="5"/>
  <c r="AB2109" i="5"/>
  <c r="V2101" i="5"/>
  <c r="I2101" i="5" s="1"/>
  <c r="AB2101" i="5"/>
  <c r="V2093" i="5"/>
  <c r="J2093" i="5" s="1"/>
  <c r="AB2093" i="5"/>
  <c r="V2085" i="5"/>
  <c r="R2085" i="5" s="1"/>
  <c r="AB2085" i="5"/>
  <c r="V2077" i="5"/>
  <c r="G2077" i="5" s="1"/>
  <c r="AB2077" i="5"/>
  <c r="V2069" i="5"/>
  <c r="AB2069" i="5"/>
  <c r="AB2045" i="5"/>
  <c r="V2045" i="5"/>
  <c r="AB2037" i="5"/>
  <c r="V2037" i="5"/>
  <c r="G2037" i="5" s="1"/>
  <c r="V2029" i="5"/>
  <c r="AB2029" i="5"/>
  <c r="V2013" i="5"/>
  <c r="AB2013" i="5"/>
  <c r="V1997" i="5"/>
  <c r="I1997" i="5" s="1"/>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E1821" i="5" s="1"/>
  <c r="X1821" i="5" s="1"/>
  <c r="AB1821" i="5"/>
  <c r="V1813" i="5"/>
  <c r="I1813" i="5" s="1"/>
  <c r="AB1813" i="5"/>
  <c r="V1805" i="5"/>
  <c r="AB1805" i="5"/>
  <c r="V1797" i="5"/>
  <c r="E1797" i="5" s="1"/>
  <c r="X1797" i="5" s="1"/>
  <c r="AB1797" i="5"/>
  <c r="V1789" i="5"/>
  <c r="H1789" i="5" s="1"/>
  <c r="AB1789" i="5"/>
  <c r="V1765" i="5"/>
  <c r="AB1765" i="5"/>
  <c r="V1749" i="5"/>
  <c r="R1749" i="5" s="1"/>
  <c r="AB1749" i="5"/>
  <c r="V1725" i="5"/>
  <c r="H1725" i="5" s="1"/>
  <c r="AB1725" i="5"/>
  <c r="V1717" i="5"/>
  <c r="J1717" i="5" s="1"/>
  <c r="AB1717" i="5"/>
  <c r="V1709" i="5"/>
  <c r="H1709" i="5" s="1"/>
  <c r="AB1709" i="5"/>
  <c r="AB1701" i="5"/>
  <c r="V1701" i="5"/>
  <c r="V1693" i="5"/>
  <c r="AB1693" i="5"/>
  <c r="AB1685" i="5"/>
  <c r="V1685" i="5"/>
  <c r="V1669" i="5"/>
  <c r="AB1669" i="5"/>
  <c r="AB1653" i="5"/>
  <c r="V1653" i="5"/>
  <c r="J1653" i="5" s="1"/>
  <c r="AB1637" i="5"/>
  <c r="V1637" i="5"/>
  <c r="I1637" i="5" s="1"/>
  <c r="V1421" i="5"/>
  <c r="G1421" i="5" s="1"/>
  <c r="AB1421" i="5"/>
  <c r="V1413" i="5"/>
  <c r="R1413" i="5" s="1"/>
  <c r="AB1413" i="5"/>
  <c r="V1405" i="5"/>
  <c r="F1405" i="5" s="1"/>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AB1333" i="5"/>
  <c r="V1317" i="5"/>
  <c r="H1317" i="5" s="1"/>
  <c r="AB1317" i="5"/>
  <c r="V1293" i="5"/>
  <c r="F1293" i="5" s="1"/>
  <c r="AB1293" i="5"/>
  <c r="V1277" i="5"/>
  <c r="F1277" i="5" s="1"/>
  <c r="AB1277" i="5"/>
  <c r="V1253" i="5"/>
  <c r="AB1253" i="5"/>
  <c r="V1213" i="5"/>
  <c r="R1213" i="5" s="1"/>
  <c r="AB1213" i="5"/>
  <c r="V1197" i="5"/>
  <c r="AB1197" i="5"/>
  <c r="V1173" i="5"/>
  <c r="G1173" i="5" s="1"/>
  <c r="V1085" i="5"/>
  <c r="J1085" i="5" s="1"/>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G1678" i="5" s="1"/>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R2469" i="5"/>
  <c r="R2429" i="5"/>
  <c r="F2429" i="5"/>
  <c r="H2429" i="5"/>
  <c r="G2429" i="5"/>
  <c r="J2429" i="5"/>
  <c r="I2397" i="5"/>
  <c r="E2397" i="5"/>
  <c r="X2397" i="5" s="1"/>
  <c r="J2397" i="5"/>
  <c r="F2397" i="5"/>
  <c r="F2269" i="5"/>
  <c r="R2269" i="5"/>
  <c r="J2261" i="5"/>
  <c r="H2253" i="5"/>
  <c r="R2253" i="5"/>
  <c r="J2253" i="5"/>
  <c r="F2253" i="5"/>
  <c r="H2245" i="5"/>
  <c r="J2245" i="5"/>
  <c r="G2213" i="5"/>
  <c r="E2213" i="5"/>
  <c r="X2213" i="5" s="1"/>
  <c r="J2213" i="5"/>
  <c r="I2205" i="5"/>
  <c r="E2205" i="5"/>
  <c r="X2205" i="5" s="1"/>
  <c r="F2205" i="5"/>
  <c r="F2181" i="5"/>
  <c r="J2181" i="5"/>
  <c r="J2173" i="5"/>
  <c r="I2173" i="5"/>
  <c r="F2157" i="5"/>
  <c r="I2157" i="5"/>
  <c r="J2149" i="5"/>
  <c r="F2149" i="5"/>
  <c r="E2149" i="5"/>
  <c r="X2149" i="5" s="1"/>
  <c r="I2149" i="5"/>
  <c r="I2117" i="5"/>
  <c r="G2117" i="5"/>
  <c r="E2101" i="5"/>
  <c r="X2101" i="5" s="1"/>
  <c r="J2101" i="5"/>
  <c r="F2101" i="5"/>
  <c r="I2093" i="5"/>
  <c r="R1901" i="5"/>
  <c r="I1837" i="5"/>
  <c r="E1837" i="5"/>
  <c r="X1837" i="5" s="1"/>
  <c r="J1837" i="5"/>
  <c r="E1829" i="5"/>
  <c r="X1829" i="5" s="1"/>
  <c r="J1829" i="5"/>
  <c r="H1821" i="5"/>
  <c r="J1821" i="5"/>
  <c r="E1789" i="5"/>
  <c r="X1789" i="5" s="1"/>
  <c r="J1789" i="5"/>
  <c r="G1749" i="5"/>
  <c r="E1749" i="5"/>
  <c r="X1749" i="5" s="1"/>
  <c r="J1749" i="5"/>
  <c r="E1717" i="5"/>
  <c r="X1717" i="5" s="1"/>
  <c r="R1421" i="5"/>
  <c r="E1421" i="5"/>
  <c r="X1421" i="5" s="1"/>
  <c r="J1405" i="5"/>
  <c r="E1405" i="5"/>
  <c r="X1405" i="5" s="1"/>
  <c r="G1405" i="5"/>
  <c r="G1389" i="5"/>
  <c r="R1389" i="5"/>
  <c r="E1389" i="5"/>
  <c r="X1389" i="5" s="1"/>
  <c r="G1381" i="5"/>
  <c r="R1373" i="5"/>
  <c r="G1373" i="5"/>
  <c r="H1373" i="5"/>
  <c r="G1333" i="5"/>
  <c r="F1333" i="5"/>
  <c r="F1325" i="5"/>
  <c r="G1325" i="5"/>
  <c r="R1325" i="5"/>
  <c r="G1309" i="5"/>
  <c r="G1285" i="5"/>
  <c r="F1261" i="5"/>
  <c r="G1253" i="5"/>
  <c r="F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G1085" i="5"/>
  <c r="I757" i="5"/>
  <c r="E741" i="5"/>
  <c r="X741" i="5" s="1"/>
  <c r="H717"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R1813" i="5"/>
  <c r="T2053" i="5"/>
  <c r="S2053" i="5"/>
  <c r="T2071" i="5"/>
  <c r="S2071" i="5"/>
  <c r="AB2071" i="5"/>
  <c r="G2217" i="5"/>
  <c r="R2217" i="5"/>
  <c r="V2405" i="5"/>
  <c r="G2405" i="5" s="1"/>
  <c r="V2237" i="5"/>
  <c r="G2237" i="5" s="1"/>
  <c r="V2229" i="5"/>
  <c r="G2229" i="5" s="1"/>
  <c r="V2165" i="5"/>
  <c r="G2165" i="5" s="1"/>
  <c r="V2133" i="5"/>
  <c r="G2133" i="5" s="1"/>
  <c r="H2101" i="5"/>
  <c r="H2093" i="5"/>
  <c r="V2021" i="5"/>
  <c r="G2021" i="5" s="1"/>
  <c r="V2005" i="5"/>
  <c r="G2005" i="5" s="1"/>
  <c r="V1981" i="5"/>
  <c r="G1981" i="5" s="1"/>
  <c r="V1965" i="5"/>
  <c r="G1965" i="5" s="1"/>
  <c r="V1941" i="5"/>
  <c r="G1941" i="5" s="1"/>
  <c r="V1925" i="5"/>
  <c r="G1925" i="5" s="1"/>
  <c r="V1909" i="5"/>
  <c r="G1909" i="5" s="1"/>
  <c r="H1829" i="5"/>
  <c r="R1829" i="5"/>
  <c r="F1821" i="5"/>
  <c r="R1821" i="5"/>
  <c r="I1821" i="5"/>
  <c r="F1805" i="5"/>
  <c r="R1805" i="5"/>
  <c r="I1805" i="5"/>
  <c r="R1789" i="5"/>
  <c r="V1781" i="5"/>
  <c r="G1781" i="5" s="1"/>
  <c r="V1773" i="5"/>
  <c r="G1773" i="5" s="1"/>
  <c r="V1757" i="5"/>
  <c r="G1757" i="5" s="1"/>
  <c r="V1741" i="5"/>
  <c r="G1741" i="5" s="1"/>
  <c r="V1733" i="5"/>
  <c r="G1733" i="5" s="1"/>
  <c r="F1421" i="5"/>
  <c r="I1421" i="5"/>
  <c r="V1357" i="5"/>
  <c r="G1357" i="5" s="1"/>
  <c r="H1333" i="5"/>
  <c r="E1333" i="5"/>
  <c r="X1333" i="5" s="1"/>
  <c r="H1325" i="5"/>
  <c r="I1325" i="5"/>
  <c r="J1317" i="5"/>
  <c r="E1277" i="5"/>
  <c r="X1277" i="5" s="1"/>
  <c r="H1261" i="5"/>
  <c r="E1261" i="5"/>
  <c r="X1261" i="5" s="1"/>
  <c r="I1261" i="5"/>
  <c r="J1261" i="5"/>
  <c r="E1253" i="5"/>
  <c r="X1253" i="5" s="1"/>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R1116" i="5"/>
  <c r="J1116" i="5"/>
  <c r="F1116" i="5"/>
  <c r="G1116" i="5"/>
  <c r="AB2459" i="5"/>
  <c r="I2113" i="5"/>
  <c r="F2113" i="5"/>
  <c r="S2082" i="5"/>
  <c r="F2146" i="5"/>
  <c r="J1944" i="5"/>
  <c r="AB1955" i="5"/>
  <c r="T941" i="5"/>
  <c r="S260" i="5"/>
  <c r="AB974" i="5"/>
  <c r="H2105" i="5"/>
  <c r="H2076" i="5"/>
  <c r="T1367" i="5"/>
  <c r="S2377" i="5"/>
  <c r="H552" i="5"/>
  <c r="F552" i="5"/>
  <c r="T2082" i="5"/>
  <c r="R2146" i="5"/>
  <c r="H1944" i="5"/>
  <c r="F1784" i="5"/>
  <c r="G104" i="5"/>
  <c r="AB78"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F2493" i="5"/>
  <c r="H2493" i="5"/>
  <c r="I2493" i="5"/>
  <c r="R2461" i="5"/>
  <c r="I2421" i="5"/>
  <c r="E2421" i="5"/>
  <c r="X2421" i="5" s="1"/>
  <c r="H2421" i="5"/>
  <c r="J2413" i="5"/>
  <c r="R2413" i="5"/>
  <c r="F2413" i="5"/>
  <c r="E2413" i="5"/>
  <c r="X2413" i="5" s="1"/>
  <c r="G2389" i="5"/>
  <c r="H2389" i="5"/>
  <c r="I2269" i="5"/>
  <c r="G2269" i="5"/>
  <c r="E2269" i="5"/>
  <c r="X2269" i="5" s="1"/>
  <c r="H2269" i="5"/>
  <c r="J2269" i="5"/>
  <c r="R2173" i="5"/>
  <c r="E2173" i="5"/>
  <c r="X2173" i="5" s="1"/>
  <c r="F2173" i="5"/>
  <c r="G2173" i="5"/>
  <c r="H2173" i="5"/>
  <c r="F2085" i="5"/>
  <c r="H2085" i="5"/>
  <c r="G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H946" i="5"/>
  <c r="G1682" i="5"/>
  <c r="F930" i="5"/>
  <c r="G2466" i="5"/>
  <c r="H2402" i="5"/>
  <c r="F698" i="5"/>
  <c r="F1314" i="5"/>
  <c r="H74" i="5"/>
  <c r="H122" i="5"/>
  <c r="I186" i="5"/>
  <c r="I650" i="5"/>
  <c r="G226" i="5"/>
  <c r="E226" i="5"/>
  <c r="X226" i="5" s="1"/>
  <c r="J74" i="5"/>
  <c r="I466" i="5"/>
  <c r="J1426" i="5"/>
  <c r="J906"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S78" i="5"/>
  <c r="S77" i="5"/>
  <c r="T35" i="5"/>
  <c r="T52" i="5"/>
  <c r="S92" i="5"/>
  <c r="T50" i="5"/>
  <c r="S72" i="5"/>
  <c r="T55" i="5"/>
  <c r="T61" i="5"/>
  <c r="T64" i="5"/>
  <c r="T60" i="5"/>
  <c r="T51" i="5"/>
  <c r="T48" i="5"/>
  <c r="S54" i="5"/>
  <c r="T34" i="5"/>
  <c r="S56" i="5"/>
  <c r="T47" i="5"/>
  <c r="S84" i="5"/>
  <c r="T81" i="5"/>
  <c r="S64" i="5"/>
  <c r="S66" i="5"/>
  <c r="T73" i="5"/>
  <c r="T78" i="5"/>
  <c r="T36" i="5"/>
  <c r="S87" i="5"/>
  <c r="T44" i="5"/>
  <c r="T74" i="5"/>
  <c r="T89" i="5"/>
  <c r="T58" i="5"/>
  <c r="T77" i="5"/>
  <c r="T90" i="5"/>
  <c r="T41" i="5"/>
  <c r="R1381" i="5" l="1"/>
  <c r="E1381" i="5"/>
  <c r="X1381" i="5" s="1"/>
  <c r="I1381" i="5"/>
  <c r="G1861" i="5"/>
  <c r="J1861" i="5"/>
  <c r="E2125" i="5"/>
  <c r="X2125" i="5" s="1"/>
  <c r="H2125" i="5"/>
  <c r="I2125" i="5"/>
  <c r="E1709" i="5"/>
  <c r="X1709" i="5" s="1"/>
  <c r="R2125" i="5"/>
  <c r="C9" i="6"/>
  <c r="H1413" i="5"/>
  <c r="J1413" i="5"/>
  <c r="F1813" i="5"/>
  <c r="G1813" i="5"/>
  <c r="G2093" i="5"/>
  <c r="F2093" i="5"/>
  <c r="E2093" i="5"/>
  <c r="X2093" i="5" s="1"/>
  <c r="R1709" i="5"/>
  <c r="R2093" i="5"/>
  <c r="J1381" i="5"/>
  <c r="E1413" i="5"/>
  <c r="X1413" i="5" s="1"/>
  <c r="H725" i="5"/>
  <c r="G725" i="5"/>
  <c r="J1341" i="5"/>
  <c r="G1341" i="5"/>
  <c r="R1253" i="5"/>
  <c r="H1253" i="5"/>
  <c r="G2493" i="5"/>
  <c r="E2493" i="5"/>
  <c r="X2493" i="5" s="1"/>
  <c r="J2493" i="5"/>
  <c r="J2109" i="5"/>
  <c r="E2109" i="5"/>
  <c r="X2109" i="5" s="1"/>
  <c r="H1813" i="5"/>
  <c r="R1333" i="5"/>
  <c r="I1333" i="5"/>
  <c r="G2245" i="5"/>
  <c r="R2245" i="5"/>
  <c r="J2389" i="5"/>
  <c r="I2389" i="5"/>
  <c r="G2469" i="5"/>
  <c r="I2469" i="5"/>
  <c r="H2469" i="5"/>
  <c r="R2389" i="5"/>
  <c r="I1125" i="5"/>
  <c r="J1253" i="5"/>
  <c r="F1381" i="5"/>
  <c r="G1709" i="5"/>
  <c r="I709" i="5"/>
  <c r="I1253" i="5"/>
  <c r="H1381" i="5"/>
  <c r="G1413" i="5"/>
  <c r="J1709" i="5"/>
  <c r="G2125" i="5"/>
  <c r="J2469" i="5"/>
  <c r="G198" i="5"/>
  <c r="E198" i="5"/>
  <c r="X198" i="5" s="1"/>
  <c r="F1778" i="5"/>
  <c r="E1778" i="5"/>
  <c r="X1778" i="5" s="1"/>
  <c r="B5" i="5"/>
  <c r="C5" i="5"/>
  <c r="B6" i="5"/>
  <c r="B8" i="5"/>
  <c r="B10" i="5"/>
  <c r="B12" i="5"/>
  <c r="B14" i="5"/>
  <c r="B16" i="5"/>
  <c r="B19" i="5"/>
  <c r="B21" i="5"/>
  <c r="B23" i="5"/>
  <c r="B25" i="5"/>
  <c r="B27" i="5"/>
  <c r="B29" i="5"/>
  <c r="B31" i="5"/>
  <c r="C11" i="5"/>
  <c r="C18" i="5"/>
  <c r="C22" i="5"/>
  <c r="C28" i="5"/>
  <c r="C6" i="5"/>
  <c r="C8" i="5"/>
  <c r="V8" i="5" s="1"/>
  <c r="J8" i="5" s="1"/>
  <c r="C10" i="5"/>
  <c r="C12" i="5"/>
  <c r="C14" i="5"/>
  <c r="C16" i="5"/>
  <c r="V16" i="5" s="1"/>
  <c r="C19" i="5"/>
  <c r="C21" i="5"/>
  <c r="C23" i="5"/>
  <c r="C25" i="5"/>
  <c r="C27" i="5"/>
  <c r="C29" i="5"/>
  <c r="C31" i="5"/>
  <c r="C13" i="5"/>
  <c r="C26" i="5"/>
  <c r="B7" i="5"/>
  <c r="B9" i="5"/>
  <c r="B11" i="5"/>
  <c r="AB11" i="5" s="1"/>
  <c r="B13" i="5"/>
  <c r="B15" i="5"/>
  <c r="B18" i="5"/>
  <c r="B20" i="5"/>
  <c r="B22" i="5"/>
  <c r="AB22" i="5" s="1"/>
  <c r="B24" i="5"/>
  <c r="B26" i="5"/>
  <c r="B28" i="5"/>
  <c r="B30" i="5"/>
  <c r="C7" i="5"/>
  <c r="V7" i="5" s="1"/>
  <c r="E7" i="5" s="1"/>
  <c r="X7" i="5" s="1"/>
  <c r="C9" i="5"/>
  <c r="C15" i="5"/>
  <c r="C20" i="5"/>
  <c r="C24" i="5"/>
  <c r="C30" i="5"/>
  <c r="C4" i="6"/>
  <c r="C11" i="6"/>
  <c r="C10" i="6"/>
  <c r="C7" i="6"/>
  <c r="J2085" i="5"/>
  <c r="G1821" i="5"/>
  <c r="R214" i="5"/>
  <c r="R2101" i="5"/>
  <c r="H1405" i="5"/>
  <c r="G2101" i="5"/>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X67" i="5"/>
  <c r="X86" i="5"/>
  <c r="X60" i="5"/>
  <c r="X79" i="5"/>
  <c r="X69" i="5"/>
  <c r="X57" i="5"/>
  <c r="X41" i="5"/>
  <c r="X89" i="5"/>
  <c r="X35" i="5"/>
  <c r="X76" i="5"/>
  <c r="X44" i="5"/>
  <c r="X73" i="5"/>
  <c r="X75" i="5"/>
  <c r="X58" i="5"/>
  <c r="X32" i="5"/>
  <c r="X47" i="5"/>
  <c r="X52" i="5"/>
  <c r="X36" i="5"/>
  <c r="X51" i="5"/>
  <c r="X37" i="5"/>
  <c r="X50" i="5"/>
  <c r="X42" i="5"/>
  <c r="H46" i="5"/>
  <c r="X74" i="5"/>
  <c r="X40" i="5"/>
  <c r="X61" i="5"/>
  <c r="X55" i="5"/>
  <c r="B56" i="4"/>
  <c r="A40" i="6" s="1"/>
  <c r="B38" i="4"/>
  <c r="A25" i="6" s="1"/>
  <c r="A20" i="6"/>
  <c r="B44" i="4"/>
  <c r="A30" i="6" s="1"/>
  <c r="AB16" i="5"/>
  <c r="AB17" i="5"/>
  <c r="V17" i="5"/>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2461" i="5"/>
  <c r="G1317" i="5"/>
  <c r="G845" i="5"/>
  <c r="E1637" i="5"/>
  <c r="X1637" i="5" s="1"/>
  <c r="I1317" i="5"/>
  <c r="H2461" i="5"/>
  <c r="F1213" i="5"/>
  <c r="F2461" i="5"/>
  <c r="E845" i="5"/>
  <c r="X845" i="5" s="1"/>
  <c r="J7" i="5"/>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J2347" i="5"/>
  <c r="F2347" i="5"/>
  <c r="H2347" i="5"/>
  <c r="R2347" i="5"/>
  <c r="E2347" i="5"/>
  <c r="X2347" i="5" s="1"/>
  <c r="I2347" i="5"/>
  <c r="H982" i="5"/>
  <c r="I982" i="5"/>
  <c r="E982" i="5"/>
  <c r="X982" i="5" s="1"/>
  <c r="J982" i="5"/>
  <c r="F982" i="5"/>
  <c r="R982"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S47" i="5"/>
  <c r="S41" i="5"/>
  <c r="S55" i="5"/>
  <c r="S67" i="5"/>
  <c r="S79" i="5"/>
  <c r="S90" i="5"/>
  <c r="S76" i="5"/>
  <c r="S52" i="5"/>
  <c r="S50" i="5"/>
  <c r="S74" i="5"/>
  <c r="S86" i="5"/>
  <c r="S69" i="5"/>
  <c r="S89" i="5"/>
  <c r="S44" i="5"/>
  <c r="S58" i="5"/>
  <c r="S36" i="5"/>
  <c r="S40" i="5"/>
  <c r="T62" i="5"/>
  <c r="T70" i="5"/>
  <c r="S60" i="5"/>
  <c r="S57" i="5"/>
  <c r="S35" i="5"/>
  <c r="S73" i="5"/>
  <c r="S32" i="5"/>
  <c r="S51" i="5"/>
  <c r="S42" i="5"/>
  <c r="T46" i="5"/>
  <c r="S34" i="5"/>
  <c r="S61" i="5"/>
  <c r="T38" i="5"/>
  <c r="S75" i="5"/>
  <c r="S37" i="5"/>
  <c r="T7" i="5"/>
  <c r="T8" i="5"/>
  <c r="AB15" i="5" l="1"/>
  <c r="V12" i="5"/>
  <c r="R12" i="5" s="1"/>
  <c r="V13" i="5"/>
  <c r="AB10" i="5"/>
  <c r="E8" i="5"/>
  <c r="V10" i="5"/>
  <c r="F10" i="5" s="1"/>
  <c r="I8" i="5"/>
  <c r="V11" i="5"/>
  <c r="G11" i="5" s="1"/>
  <c r="R8" i="5"/>
  <c r="F8" i="5"/>
  <c r="V14" i="5"/>
  <c r="G14" i="5" s="1"/>
  <c r="AB12" i="5"/>
  <c r="I7" i="5"/>
  <c r="V15" i="5"/>
  <c r="G15" i="5" s="1"/>
  <c r="F7" i="5"/>
  <c r="G8" i="5"/>
  <c r="AB14" i="5"/>
  <c r="V30" i="5"/>
  <c r="R30" i="5" s="1"/>
  <c r="AB18" i="5"/>
  <c r="V23" i="5"/>
  <c r="J23" i="5" s="1"/>
  <c r="V6" i="5"/>
  <c r="R7" i="5"/>
  <c r="AB28" i="5"/>
  <c r="AB20" i="5"/>
  <c r="V25" i="5"/>
  <c r="G25" i="5" s="1"/>
  <c r="V18" i="5"/>
  <c r="AB27" i="5"/>
  <c r="AB19" i="5"/>
  <c r="V9" i="5"/>
  <c r="G9" i="5" s="1"/>
  <c r="AB26" i="5"/>
  <c r="V31" i="5"/>
  <c r="G31" i="5" s="1"/>
  <c r="AB25" i="5"/>
  <c r="AB8" i="5"/>
  <c r="V24" i="5"/>
  <c r="G24" i="5" s="1"/>
  <c r="AB24" i="5"/>
  <c r="AB7" i="5"/>
  <c r="V29" i="5"/>
  <c r="G29" i="5" s="1"/>
  <c r="V21" i="5"/>
  <c r="G21" i="5" s="1"/>
  <c r="G12" i="5"/>
  <c r="J12" i="5"/>
  <c r="F12" i="5"/>
  <c r="E12" i="5"/>
  <c r="I12" i="5"/>
  <c r="V28" i="5"/>
  <c r="AB31" i="5"/>
  <c r="AB23" i="5"/>
  <c r="AB6" i="5"/>
  <c r="AB9" i="5"/>
  <c r="V20" i="5"/>
  <c r="G20" i="5" s="1"/>
  <c r="AB30" i="5"/>
  <c r="AB13" i="5"/>
  <c r="V26" i="5"/>
  <c r="G26" i="5" s="1"/>
  <c r="V27" i="5"/>
  <c r="V19" i="5"/>
  <c r="G19" i="5" s="1"/>
  <c r="V22" i="5"/>
  <c r="AB29" i="5"/>
  <c r="AB21" i="5"/>
  <c r="H48" i="6"/>
  <c r="C48" i="6" s="1"/>
  <c r="X94" i="5"/>
  <c r="S94" i="5"/>
  <c r="X62" i="5"/>
  <c r="X38" i="5"/>
  <c r="X70" i="5"/>
  <c r="X46" i="5"/>
  <c r="E14" i="5"/>
  <c r="J14" i="5"/>
  <c r="F14" i="5"/>
  <c r="R14" i="5"/>
  <c r="I14" i="5"/>
  <c r="G10" i="5"/>
  <c r="I10" i="5"/>
  <c r="E10" i="5"/>
  <c r="I13" i="5"/>
  <c r="E13" i="5"/>
  <c r="J13" i="5"/>
  <c r="F13" i="5"/>
  <c r="R13" i="5"/>
  <c r="R16" i="5"/>
  <c r="E16" i="5"/>
  <c r="G16" i="5"/>
  <c r="I16" i="5"/>
  <c r="J16" i="5"/>
  <c r="F16" i="5"/>
  <c r="G13" i="5"/>
  <c r="R17" i="5"/>
  <c r="R11" i="5"/>
  <c r="D50" i="6"/>
  <c r="D47" i="6"/>
  <c r="D51" i="6"/>
  <c r="C51" i="6"/>
  <c r="D46" i="6"/>
  <c r="C46" i="6"/>
  <c r="D54" i="6"/>
  <c r="C54" i="6"/>
  <c r="D53" i="6"/>
  <c r="C53" i="6"/>
  <c r="D55" i="6"/>
  <c r="D49" i="6"/>
  <c r="C49" i="6"/>
  <c r="X8" i="5"/>
  <c r="S70" i="5"/>
  <c r="S62" i="5"/>
  <c r="S46" i="5"/>
  <c r="S38" i="5"/>
  <c r="T17" i="5"/>
  <c r="S8" i="5"/>
  <c r="T12" i="5"/>
  <c r="S7" i="5"/>
  <c r="T16" i="5"/>
  <c r="T14" i="5"/>
  <c r="T13" i="5"/>
  <c r="T23" i="5"/>
  <c r="I11" i="5" l="1"/>
  <c r="E11" i="5"/>
  <c r="E23" i="5"/>
  <c r="F11" i="5"/>
  <c r="J11" i="5"/>
  <c r="R10" i="5"/>
  <c r="J10" i="5"/>
  <c r="F15" i="5"/>
  <c r="E30" i="5"/>
  <c r="J15" i="5"/>
  <c r="R15" i="5"/>
  <c r="E15" i="5"/>
  <c r="X15" i="5" s="1"/>
  <c r="R23" i="5"/>
  <c r="I23" i="5"/>
  <c r="G23" i="5"/>
  <c r="I30" i="5"/>
  <c r="J30" i="5"/>
  <c r="G30" i="5"/>
  <c r="F30" i="5"/>
  <c r="F23" i="5"/>
  <c r="I15" i="5"/>
  <c r="F6" i="5"/>
  <c r="J6" i="5"/>
  <c r="R6" i="5"/>
  <c r="I6" i="5"/>
  <c r="E6" i="5"/>
  <c r="G6" i="5"/>
  <c r="I28" i="5"/>
  <c r="F28" i="5"/>
  <c r="E28" i="5"/>
  <c r="J28" i="5"/>
  <c r="R28" i="5"/>
  <c r="E19" i="5"/>
  <c r="R19" i="5"/>
  <c r="I19" i="5"/>
  <c r="J19" i="5"/>
  <c r="F19" i="5"/>
  <c r="I26" i="5"/>
  <c r="J26" i="5"/>
  <c r="E26" i="5"/>
  <c r="F26" i="5"/>
  <c r="R26" i="5"/>
  <c r="E20" i="5"/>
  <c r="R20" i="5"/>
  <c r="J20" i="5"/>
  <c r="I20" i="5"/>
  <c r="F20" i="5"/>
  <c r="J29" i="5"/>
  <c r="F29" i="5"/>
  <c r="I29" i="5"/>
  <c r="R29" i="5"/>
  <c r="E29" i="5"/>
  <c r="E27" i="5"/>
  <c r="F27" i="5"/>
  <c r="I27" i="5"/>
  <c r="J27" i="5"/>
  <c r="R27" i="5"/>
  <c r="X12" i="5"/>
  <c r="R24" i="5"/>
  <c r="I24" i="5"/>
  <c r="J24" i="5"/>
  <c r="F24" i="5"/>
  <c r="E24" i="5"/>
  <c r="E31" i="5"/>
  <c r="R31" i="5"/>
  <c r="I31" i="5"/>
  <c r="J31" i="5"/>
  <c r="F31" i="5"/>
  <c r="I25" i="5"/>
  <c r="E25" i="5"/>
  <c r="J25" i="5"/>
  <c r="F25" i="5"/>
  <c r="R25" i="5"/>
  <c r="F22" i="5"/>
  <c r="E22" i="5"/>
  <c r="G22" i="5"/>
  <c r="I22" i="5"/>
  <c r="R22" i="5"/>
  <c r="J22" i="5"/>
  <c r="G27" i="5"/>
  <c r="G28" i="5"/>
  <c r="R21" i="5"/>
  <c r="J21" i="5"/>
  <c r="I21" i="5"/>
  <c r="E21" i="5"/>
  <c r="F21" i="5"/>
  <c r="E9" i="5"/>
  <c r="J9" i="5"/>
  <c r="I9" i="5"/>
  <c r="F9" i="5"/>
  <c r="R9" i="5"/>
  <c r="J18" i="5"/>
  <c r="E18" i="5"/>
  <c r="R18" i="5"/>
  <c r="F18" i="5"/>
  <c r="I18" i="5"/>
  <c r="G18" i="5"/>
  <c r="D48" i="6"/>
  <c r="X13" i="5"/>
  <c r="X16" i="5"/>
  <c r="X10" i="5"/>
  <c r="X17" i="5"/>
  <c r="X11" i="5"/>
  <c r="X14" i="5"/>
  <c r="G59" i="6"/>
  <c r="G60" i="6"/>
  <c r="F61" i="6"/>
  <c r="G58" i="6"/>
  <c r="H59" i="6"/>
  <c r="T11" i="5"/>
  <c r="S23" i="5"/>
  <c r="T10" i="5"/>
  <c r="S30" i="5"/>
  <c r="T15" i="5"/>
  <c r="S6" i="5"/>
  <c r="T6" i="5"/>
  <c r="T30" i="5"/>
  <c r="T19" i="5"/>
  <c r="T29" i="5"/>
  <c r="T24" i="5"/>
  <c r="S10" i="5"/>
  <c r="S12" i="5"/>
  <c r="S14" i="5"/>
  <c r="S17" i="5"/>
  <c r="T31" i="5"/>
  <c r="T25" i="5"/>
  <c r="T22" i="5"/>
  <c r="T21" i="5"/>
  <c r="S16" i="5"/>
  <c r="T20" i="5"/>
  <c r="S15" i="5"/>
  <c r="T27" i="5"/>
  <c r="S11" i="5"/>
  <c r="S13" i="5"/>
  <c r="T9" i="5"/>
  <c r="T28" i="5"/>
  <c r="T26" i="5"/>
  <c r="T18" i="5"/>
  <c r="X23" i="5" l="1"/>
  <c r="X30" i="5"/>
  <c r="X6" i="5"/>
  <c r="X31" i="5"/>
  <c r="X27" i="5"/>
  <c r="X20" i="5"/>
  <c r="X28" i="5"/>
  <c r="X19" i="5"/>
  <c r="X9" i="5"/>
  <c r="X22" i="5"/>
  <c r="X24" i="5"/>
  <c r="X25" i="5"/>
  <c r="X18" i="5"/>
  <c r="X21" i="5"/>
  <c r="X29" i="5"/>
  <c r="X26" i="5"/>
  <c r="H60" i="6"/>
  <c r="AB5" i="5"/>
  <c r="H57" i="6"/>
  <c r="V5" i="5"/>
  <c r="G57" i="6"/>
  <c r="C57" i="6" s="1"/>
  <c r="H58" i="6"/>
  <c r="S22" i="5"/>
  <c r="S31" i="5"/>
  <c r="S20" i="5"/>
  <c r="S19" i="5"/>
  <c r="S25" i="5"/>
  <c r="S21" i="5"/>
  <c r="S26" i="5"/>
  <c r="S28" i="5"/>
  <c r="S24" i="5"/>
  <c r="S27" i="5"/>
  <c r="S9" i="5"/>
  <c r="S18" i="5"/>
  <c r="S29" i="5"/>
  <c r="F5" i="5" l="1"/>
  <c r="J5" i="5"/>
  <c r="I5" i="5"/>
  <c r="E5" i="5"/>
  <c r="G5" i="5"/>
  <c r="R5" i="5"/>
  <c r="H62" i="6"/>
  <c r="D2" i="6" s="1"/>
  <c r="D57" i="6"/>
  <c r="S5" i="5"/>
  <c r="T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<sst xmlns="http://schemas.openxmlformats.org/spreadsheetml/2006/main" count="17384" uniqueCount="14079">
  <si>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</si>
  <si>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</si>
  <si>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</si>
  <si>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</si>
  <si>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</si>
  <si>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</si>
  <si>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</si>
  <si>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</si>
  <si>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</si>
  <si>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</si>
  <si>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</si>
  <si>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</si>
  <si>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</si>
  <si>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</si>
  <si>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</si>
  <si>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</si>
  <si>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</si>
  <si>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</si>
  <si>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</si>
  <si>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</si>
  <si>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</si>
  <si>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</si>
  <si>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</si>
  <si>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</si>
  <si>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</si>
  <si>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</si>
  <si>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</si>
  <si>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</si>
  <si>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</si>
  <si>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</si>
  <si>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</si>
  <si>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</si>
  <si>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</si>
  <si>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</si>
  <si>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</si>
  <si>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</si>
  <si>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</si>
  <si>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</si>
  <si>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</si>
  <si>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</si>
  <si>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</si>
  <si>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</si>
  <si>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</si>
  <si>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</si>
  <si>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</si>
  <si>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</si>
  <si>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</si>
  <si>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</si>
  <si>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</si>
  <si>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</si>
  <si>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</si>
  <si>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</si>
  <si>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</si>
  <si>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</si>
  <si>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</si>
  <si>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</si>
  <si>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</si>
  <si>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</si>
  <si>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</si>
  <si>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</si>
  <si>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</si>
  <si>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</si>
  <si>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</si>
  <si>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</si>
  <si>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</si>
  <si>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</si>
  <si>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</si>
  <si>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</si>
  <si>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</si>
  <si>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</si>
  <si>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</si>
  <si>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</si>
  <si>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</si>
  <si>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</si>
  <si>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</si>
  <si>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</si>
  <si>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</si>
  <si>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</si>
  <si>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</si>
  <si>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</si>
  <si>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</si>
  <si>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</si>
  <si>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</si>
  <si>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</si>
  <si>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</si>
  <si>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</si>
  <si>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</si>
  <si>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</si>
  <si>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</si>
  <si>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</si>
  <si>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</si>
  <si>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</si>
  <si>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</si>
  <si>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</si>
  <si>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</si>
  <si>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</si>
  <si>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</si>
  <si>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</si>
  <si>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</si>
  <si>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</si>
  <si>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</si>
  <si>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</si>
  <si>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</si>
  <si>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</si>
  <si>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</si>
  <si>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</si>
  <si>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</si>
  <si>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</si>
  <si>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</si>
  <si>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</si>
  <si>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</si>
  <si>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</si>
  <si>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</si>
  <si>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</si>
  <si>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</si>
  <si>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</si>
  <si>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</si>
  <si>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</si>
  <si>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</si>
  <si>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</si>
  <si>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</si>
  <si>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</si>
  <si>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</si>
  <si>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</si>
  <si>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</si>
  <si>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</si>
  <si>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</si>
  <si>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</si>
  <si>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</si>
  <si>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</si>
  <si>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</si>
  <si>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</si>
  <si>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</si>
  <si>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</si>
  <si>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</si>
  <si>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</si>
  <si>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</si>
  <si>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</si>
  <si>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</si>
  <si>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</si>
  <si>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</si>
  <si>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</si>
  <si>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</si>
  <si>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</si>
  <si>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</si>
  <si>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</si>
  <si>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</si>
  <si>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</si>
  <si>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</si>
  <si>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</si>
  <si>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</si>
  <si>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</si>
  <si>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</si>
  <si>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</si>
  <si>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</si>
  <si>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</si>
  <si>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</si>
  <si>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</si>
  <si>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</si>
  <si>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</si>
  <si>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</si>
  <si>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</si>
  <si>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</si>
  <si>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</si>
  <si>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</si>
  <si>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</si>
  <si>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</si>
  <si>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</si>
  <si>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</si>
  <si>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</si>
  <si>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</si>
  <si>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</si>
  <si>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</si>
  <si>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</si>
  <si>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</si>
  <si>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</si>
  <si>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</si>
  <si>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</si>
  <si>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</si>
  <si>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</si>
  <si>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</si>
  <si>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</si>
  <si>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</si>
  <si>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</si>
  <si>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</si>
  <si>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</si>
  <si>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</si>
  <si>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</si>
  <si>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</si>
  <si>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</si>
  <si>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</si>
  <si>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</si>
  <si>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</si>
  <si>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</si>
  <si>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</si>
  <si>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</si>
  <si>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</si>
  <si>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</si>
  <si>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</si>
  <si>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</si>
  <si>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</si>
  <si>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</si>
  <si>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</si>
  <si>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</si>
  <si>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</si>
  <si>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</si>
  <si>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</si>
  <si>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</si>
  <si>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</si>
  <si>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</si>
  <si>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</si>
  <si>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</si>
  <si>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</si>
  <si>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</si>
  <si>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</si>
  <si>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</si>
  <si>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</si>
  <si>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</si>
  <si>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</si>
  <si>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</si>
  <si>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</si>
  <si>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</si>
  <si>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</si>
  <si>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</si>
  <si>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</si>
  <si>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</si>
  <si>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</si>
  <si>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</si>
  <si>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</si>
  <si>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</si>
  <si>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</si>
  <si>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</si>
  <si>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</si>
  <si>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</si>
  <si>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</si>
  <si>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</si>
  <si>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</si>
  <si>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</si>
  <si>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</si>
  <si>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</si>
  <si>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</si>
  <si>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</si>
  <si>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</si>
  <si>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</si>
  <si>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</si>
  <si>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</si>
  <si>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</si>
  <si>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</si>
  <si>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</si>
  <si>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</si>
  <si>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</si>
  <si>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</si>
  <si>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</si>
  <si>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</si>
  <si>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</si>
  <si>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</si>
  <si>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</si>
  <si>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</si>
  <si>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</si>
  <si>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</si>
  <si>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</si>
  <si>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</si>
  <si>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</si>
  <si>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</si>
  <si>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</si>
  <si>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</si>
  <si>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</si>
  <si>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</si>
  <si>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</si>
  <si>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</si>
  <si>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</si>
  <si>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</si>
  <si>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</si>
  <si>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</si>
  <si>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</si>
  <si>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</si>
  <si>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</si>
  <si>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</si>
  <si>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</si>
  <si>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</si>
  <si>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</si>
  <si>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</si>
  <si>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</si>
  <si>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</si>
  <si>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</si>
  <si>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</si>
  <si>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</si>
  <si>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</si>
  <si>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</si>
  <si>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</si>
  <si>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</si>
  <si>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</si>
  <si>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</si>
  <si>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</si>
  <si>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</si>
  <si>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</si>
  <si>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</si>
  <si>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</si>
  <si>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</si>
  <si>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</si>
  <si>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</si>
  <si>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</si>
  <si>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</si>
  <si>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</si>
  <si>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</si>
  <si>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</si>
  <si>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</si>
  <si>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</si>
  <si>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</si>
  <si>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</si>
  <si>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</si>
  <si>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</si>
  <si>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</si>
  <si>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</si>
  <si>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</si>
  <si>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</si>
  <si>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</si>
  <si>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</si>
  <si>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</si>
  <si>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</si>
  <si>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</si>
  <si>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</si>
  <si>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</si>
  <si>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</si>
  <si>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</si>
  <si>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</si>
  <si>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</si>
  <si>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</si>
  <si>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</si>
  <si>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</si>
  <si>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</si>
  <si>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</si>
  <si>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</si>
  <si>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</si>
  <si>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</si>
  <si>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</si>
  <si>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</si>
  <si>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</si>
  <si>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</si>
  <si>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</si>
  <si>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</si>
  <si>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</si>
  <si>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</si>
  <si>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</si>
  <si>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</si>
  <si>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</si>
  <si>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</si>
  <si>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</si>
  <si>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</si>
  <si>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</si>
  <si>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</si>
  <si>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</si>
  <si>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</si>
  <si>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</si>
  <si>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</si>
  <si>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</si>
  <si>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</si>
  <si>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</si>
  <si>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</si>
  <si>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</si>
  <si>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</si>
  <si>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</si>
  <si>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</si>
  <si>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</si>
  <si>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</si>
  <si>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</si>
  <si>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</si>
  <si>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</si>
  <si>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</si>
  <si>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</si>
  <si>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</si>
  <si>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</si>
  <si>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</si>
  <si>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</si>
  <si>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</si>
  <si>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</si>
  <si>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</si>
  <si>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</si>
  <si>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</si>
  <si>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</si>
  <si>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</si>
  <si>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</si>
  <si>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</si>
  <si>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</si>
  <si>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</si>
  <si>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</si>
  <si>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</si>
  <si>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</si>
  <si>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</si>
  <si>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</si>
  <si>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</si>
  <si>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</si>
  <si>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</si>
  <si>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</si>
  <si>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</si>
  <si>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</si>
  <si>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</si>
  <si>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</si>
  <si>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</si>
  <si>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</si>
  <si>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</si>
  <si>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</si>
  <si>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</si>
  <si>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</si>
  <si>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</si>
  <si>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</si>
  <si>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</si>
  <si>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</si>
  <si>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</si>
  <si>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</si>
  <si>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</si>
  <si>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</si>
  <si>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</si>
  <si>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</si>
  <si>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</si>
  <si>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</si>
  <si>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</si>
  <si>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</si>
  <si>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</si>
  <si>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</si>
  <si>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</si>
  <si>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</si>
  <si>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</si>
  <si>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</si>
  <si>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</si>
  <si>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</si>
  <si>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</si>
  <si>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</si>
  <si>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</si>
  <si>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</si>
  <si>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</si>
  <si>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</si>
  <si>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</si>
  <si>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</si>
  <si>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</si>
  <si>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</si>
  <si>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</si>
  <si>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</si>
  <si>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</si>
  <si>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</si>
  <si>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</si>
  <si>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</si>
  <si>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</si>
  <si>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</si>
  <si>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</si>
  <si>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</si>
  <si>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</si>
  <si>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</si>
  <si>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</si>
  <si>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</si>
  <si>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</si>
  <si>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</si>
  <si>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</si>
  <si>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</si>
  <si>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</si>
  <si>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</si>
  <si>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</si>
  <si>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</si>
  <si>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</si>
  <si>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</si>
  <si>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</si>
  <si>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</si>
  <si>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</si>
  <si>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</si>
  <si>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</si>
  <si>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</si>
  <si>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</si>
  <si>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</si>
  <si>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</si>
  <si>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</si>
  <si>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</si>
  <si>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</si>
  <si>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</si>
  <si>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</si>
  <si>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</si>
  <si>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</si>
  <si>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</si>
  <si>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</si>
  <si>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</si>
  <si>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</si>
  <si>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</si>
  <si>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</si>
  <si>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</si>
  <si>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</si>
  <si>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</si>
  <si>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</si>
  <si>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</si>
  <si>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</si>
  <si>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</si>
  <si>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</si>
  <si>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</si>
  <si>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</si>
  <si>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</si>
  <si>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</si>
  <si>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</si>
  <si>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</si>
  <si>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</si>
  <si>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</si>
  <si>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</si>
  <si>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</si>
  <si>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</si>
  <si>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</si>
  <si>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</si>
  <si>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</si>
  <si>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</si>
  <si>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</si>
  <si>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</si>
  <si>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</si>
  <si>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</si>
  <si>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</si>
  <si>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</si>
  <si>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</si>
  <si>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</si>
  <si>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</si>
  <si>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</si>
  <si>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</si>
  <si>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</si>
  <si>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</si>
  <si>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</si>
  <si>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</si>
  <si>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</si>
  <si>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</si>
  <si>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</si>
  <si>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</si>
  <si>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</si>
  <si>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</si>
  <si>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</si>
  <si>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</si>
  <si>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</si>
  <si>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</si>
  <si>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</si>
  <si>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</si>
  <si>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</si>
  <si>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</si>
  <si>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</si>
  <si>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</si>
  <si>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</si>
  <si>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</si>
  <si>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</si>
  <si>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</si>
  <si>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</si>
  <si>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</si>
  <si>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</si>
  <si>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</si>
  <si>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</si>
  <si>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</si>
  <si>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</si>
  <si>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</si>
  <si>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</si>
  <si>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</si>
  <si>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</si>
  <si>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</si>
  <si>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</si>
  <si>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</si>
  <si>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</si>
  <si>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</si>
  <si>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</si>
  <si>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</si>
  <si>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</si>
  <si>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</si>
  <si>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</si>
  <si>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</si>
  <si>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</si>
  <si>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</si>
  <si>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</si>
  <si>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</si>
  <si>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</si>
  <si>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</si>
  <si>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</si>
  <si>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</si>
  <si>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</si>
  <si>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</si>
  <si>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</si>
  <si>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</si>
  <si>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</si>
  <si>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</si>
  <si>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</si>
  <si>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</si>
  <si>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</si>
  <si>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</si>
  <si>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</si>
  <si>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</si>
  <si>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</si>
  <si>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</si>
  <si>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</si>
  <si>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</si>
  <si>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</si>
  <si>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</si>
  <si>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</si>
  <si>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</si>
  <si>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</si>
  <si>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</si>
  <si>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</si>
  <si>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</si>
  <si>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</si>
  <si>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</si>
  <si>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</si>
  <si>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</si>
  <si>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</si>
  <si>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</si>
  <si>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</si>
  <si>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</si>
  <si>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</si>
  <si>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</si>
  <si>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</si>
  <si>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</si>
  <si>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</si>
  <si>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</si>
  <si>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</si>
  <si>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</si>
  <si>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</si>
  <si>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</si>
  <si>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</si>
  <si>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</si>
  <si>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</si>
  <si>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</si>
  <si>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</si>
  <si>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</si>
  <si>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</si>
  <si>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</si>
  <si>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</si>
  <si>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</si>
  <si>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</si>
  <si>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</si>
  <si>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</si>
  <si>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</si>
  <si>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</si>
  <si>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</si>
  <si>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</si>
  <si>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</si>
  <si>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</si>
  <si>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</si>
  <si>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</si>
  <si>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</si>
  <si>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</si>
  <si>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</si>
  <si>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</si>
  <si>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</si>
  <si>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</si>
  <si>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</si>
  <si>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</si>
  <si>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</si>
  <si>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</si>
  <si>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</si>
  <si>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</si>
  <si>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</si>
  <si>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</si>
  <si>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</si>
  <si>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</si>
  <si>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</si>
  <si>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</si>
  <si>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</si>
  <si>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</si>
  <si>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</si>
  <si>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</si>
  <si>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</si>
  <si>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</si>
  <si>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</si>
  <si>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</si>
  <si>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</si>
  <si>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</si>
  <si>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</si>
  <si>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</si>
  <si>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</si>
  <si>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</si>
  <si>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</si>
  <si>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</si>
  <si>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</si>
  <si>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</si>
  <si>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</si>
  <si>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</si>
  <si>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</si>
  <si>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</si>
  <si>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</si>
  <si>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</si>
  <si>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</si>
  <si>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</si>
  <si>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</si>
  <si>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</si>
  <si>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</si>
  <si>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</si>
  <si>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</si>
  <si>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</si>
  <si>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</si>
  <si>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</si>
  <si>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</si>
  <si>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</si>
  <si>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</si>
  <si>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</si>
  <si>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</si>
  <si>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</si>
  <si>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</si>
  <si>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</si>
  <si>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</si>
  <si>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</si>
  <si>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</si>
  <si>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</si>
  <si>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</si>
  <si>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</si>
  <si>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</si>
  <si>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</si>
  <si>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</si>
  <si>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</si>
  <si>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</si>
  <si>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</si>
  <si>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</si>
  <si>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</si>
  <si>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</si>
  <si>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</si>
  <si>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</si>
  <si>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</si>
  <si>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</si>
  <si>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</si>
  <si>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</si>
  <si>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</si>
  <si>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</si>
  <si>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</si>
  <si>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</si>
  <si>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</si>
  <si>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</si>
  <si>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</si>
  <si>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</si>
  <si>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</si>
  <si>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</si>
  <si>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</si>
  <si>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</si>
  <si>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</si>
  <si>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</si>
  <si>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</si>
  <si>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</si>
  <si>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</si>
  <si>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</si>
  <si>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</si>
  <si>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</si>
  <si>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</si>
  <si>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</si>
  <si>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</si>
  <si>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</si>
  <si>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</si>
  <si>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</si>
  <si>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</si>
  <si>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</si>
  <si>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</si>
  <si>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</si>
  <si>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</si>
  <si>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</si>
  <si>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</si>
  <si>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</si>
  <si>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</si>
  <si>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</si>
  <si>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</si>
  <si>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</si>
  <si>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</si>
  <si>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</si>
  <si>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</si>
  <si>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</si>
  <si>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</si>
  <si>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</si>
  <si>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</si>
  <si>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</si>
  <si>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</si>
  <si>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</si>
  <si>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</si>
  <si>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</si>
  <si>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</si>
  <si>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</si>
  <si>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</si>
  <si>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</si>
  <si>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</si>
  <si>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</si>
  <si>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</si>
  <si>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</si>
  <si>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</si>
  <si>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</si>
  <si>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</si>
  <si>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</si>
  <si>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</si>
  <si>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</si>
  <si>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</si>
  <si>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</si>
  <si>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</si>
  <si>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</si>
  <si>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</si>
  <si>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</si>
  <si>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</si>
  <si>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</si>
  <si>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</si>
  <si>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</si>
  <si>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</si>
  <si>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</si>
  <si>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</si>
  <si>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</si>
  <si>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</si>
  <si>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</si>
  <si>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</si>
  <si>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</si>
  <si>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</si>
  <si>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</si>
  <si>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</si>
  <si>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</si>
  <si>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</si>
  <si>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</si>
  <si>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</si>
  <si>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</si>
  <si>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</si>
  <si>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</si>
  <si>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</si>
  <si>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</si>
  <si>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</si>
  <si>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</si>
  <si>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</si>
  <si>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</si>
  <si>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</si>
  <si>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</si>
  <si>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</si>
  <si>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</si>
  <si>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</si>
  <si>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</si>
  <si>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</si>
  <si>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</si>
  <si>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</si>
  <si>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</si>
  <si>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</si>
  <si>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</si>
  <si>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</si>
  <si>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</si>
  <si>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</si>
  <si>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</si>
  <si>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</si>
  <si>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</si>
  <si>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</si>
  <si>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</si>
  <si>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</si>
  <si>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</si>
  <si>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</si>
  <si>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</si>
  <si>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</si>
  <si>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</si>
  <si>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</si>
  <si>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</si>
  <si>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</si>
  <si>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</si>
  <si>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</si>
  <si>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</si>
  <si>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</si>
  <si>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</si>
  <si>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</si>
  <si>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</si>
  <si>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</si>
  <si>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</si>
  <si>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</si>
  <si>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</si>
  <si>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</si>
  <si>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</si>
  <si>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</si>
  <si>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</si>
  <si>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</si>
  <si>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</si>
  <si>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</si>
  <si>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</si>
  <si>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</si>
  <si>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</si>
  <si>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</si>
  <si>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</si>
  <si>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</si>
  <si>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</si>
  <si>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</si>
  <si>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</si>
  <si>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</si>
  <si>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</si>
  <si>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</si>
  <si>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</si>
  <si>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</si>
  <si>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</si>
  <si>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</si>
  <si>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</si>
  <si>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</si>
  <si>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</si>
  <si>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</si>
  <si>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</si>
  <si>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</si>
  <si>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</si>
  <si>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</si>
  <si>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</si>
  <si>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</si>
  <si>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</si>
  <si>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</si>
  <si>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</si>
  <si>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</si>
  <si>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</si>
  <si>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</si>
  <si>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</si>
  <si>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</si>
  <si>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</si>
  <si>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</si>
  <si>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</si>
  <si>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</si>
  <si>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</si>
  <si>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</si>
  <si>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</si>
  <si>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</si>
  <si>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</si>
  <si>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</si>
  <si>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</si>
  <si>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</si>
  <si>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</si>
  <si>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</si>
  <si>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</si>
  <si>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</si>
  <si>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</si>
  <si>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</si>
  <si>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</si>
  <si>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</si>
  <si>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</si>
  <si>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</si>
  <si>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</si>
  <si>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</si>
  <si>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</si>
  <si>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</si>
  <si>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</si>
  <si>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</si>
  <si>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</si>
  <si>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</si>
  <si>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</si>
  <si>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</si>
  <si>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</si>
  <si>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</si>
  <si>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</si>
  <si>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</si>
  <si>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</si>
  <si>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</si>
  <si>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</si>
  <si>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</si>
  <si>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</si>
  <si>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</si>
  <si>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</si>
  <si>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</si>
  <si>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</si>
  <si>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</si>
  <si>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</si>
  <si>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</si>
  <si>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</si>
  <si>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</si>
  <si>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</si>
  <si>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</si>
  <si>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</si>
  <si>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</si>
  <si>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</si>
  <si>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</si>
  <si>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</si>
  <si>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</si>
  <si>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</si>
  <si>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</si>
  <si>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</si>
  <si>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</si>
  <si>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</si>
  <si>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</si>
  <si>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</si>
  <si>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</si>
  <si>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</si>
  <si>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</si>
  <si>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</si>
  <si>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</si>
  <si>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</si>
  <si>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</si>
  <si>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</si>
  <si>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</si>
  <si>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</si>
  <si>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</si>
  <si>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</si>
  <si>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</si>
  <si>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</si>
  <si>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</si>
  <si>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</si>
  <si>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</si>
  <si>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</si>
  <si>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</si>
  <si>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</si>
  <si>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</si>
  <si>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</si>
  <si>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</si>
  <si>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</si>
  <si>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</si>
  <si>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</si>
  <si>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</si>
  <si>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</si>
  <si>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</si>
  <si>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</si>
  <si>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</si>
  <si>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</si>
  <si>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</si>
  <si>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</si>
  <si>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</si>
  <si>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</si>
  <si>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</si>
  <si>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</si>
  <si>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</si>
  <si>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</si>
  <si>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</si>
  <si>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</si>
  <si>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</si>
  <si>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</si>
  <si>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</si>
  <si>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</si>
  <si>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</si>
  <si>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</si>
  <si>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</si>
  <si>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</si>
  <si>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</si>
  <si>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</si>
  <si>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</si>
  <si>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</si>
  <si>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</si>
  <si>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</si>
  <si>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</si>
  <si>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</si>
  <si>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</si>
  <si>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</si>
  <si>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</si>
  <si>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</si>
  <si>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</si>
  <si>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</si>
  <si>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</si>
  <si>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</si>
  <si>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</si>
  <si>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</si>
  <si>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</si>
  <si>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</si>
  <si>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</si>
  <si>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</si>
  <si>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</si>
  <si>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</si>
  <si>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</si>
  <si>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</si>
  <si>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</si>
  <si>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</si>
  <si>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</si>
  <si>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</si>
  <si>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</si>
  <si>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</si>
  <si>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</si>
  <si>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</si>
  <si>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</si>
  <si>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</si>
  <si>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</si>
  <si>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</si>
  <si>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</si>
  <si>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</si>
  <si>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</si>
  <si>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</si>
  <si>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</si>
  <si>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</si>
  <si>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</si>
  <si>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</si>
  <si>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</si>
  <si>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</si>
  <si>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</si>
  <si>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</si>
  <si>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</si>
  <si>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</si>
  <si>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</si>
  <si>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</si>
  <si>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</si>
  <si>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</si>
  <si>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</si>
  <si>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</si>
  <si>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</si>
  <si>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</si>
  <si>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</si>
  <si>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</si>
  <si>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</si>
  <si>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</si>
  <si>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</si>
  <si>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</si>
  <si>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</si>
  <si>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</si>
  <si>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</si>
  <si>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</si>
  <si>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</si>
  <si>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</si>
  <si>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</si>
  <si>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</si>
  <si>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</si>
  <si>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</si>
  <si>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</si>
  <si>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</si>
  <si>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</si>
  <si>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</si>
  <si>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</si>
  <si>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</si>
  <si>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</si>
  <si>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</si>
  <si>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</si>
  <si>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</si>
  <si>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</si>
  <si>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</si>
  <si>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</si>
  <si>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</si>
  <si>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</si>
  <si>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</si>
  <si>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</si>
  <si>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</si>
  <si>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</si>
  <si>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</si>
  <si>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</si>
  <si>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</si>
  <si>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</si>
  <si>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</si>
  <si>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</si>
  <si>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</si>
  <si>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</si>
  <si>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</si>
  <si>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</si>
  <si>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</si>
  <si>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</si>
  <si>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</si>
  <si>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</si>
  <si>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</si>
  <si>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</si>
  <si>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</si>
  <si>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</si>
  <si>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</si>
  <si>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</si>
  <si>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</si>
  <si>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</si>
  <si>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</si>
  <si>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</si>
  <si>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</si>
  <si>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</si>
  <si>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</si>
  <si>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</si>
  <si>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</si>
  <si>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</si>
  <si>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</si>
  <si>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</si>
  <si>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</si>
  <si>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</si>
  <si>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</si>
  <si>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</si>
  <si>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</si>
  <si>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</si>
  <si>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</si>
  <si>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</si>
  <si>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</si>
  <si>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</si>
  <si>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</si>
  <si>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</si>
  <si>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</si>
  <si>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</si>
  <si>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</si>
  <si>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</si>
  <si>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</si>
  <si>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</si>
  <si>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</si>
  <si>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</si>
  <si>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</si>
  <si>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</si>
  <si>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</si>
  <si>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</si>
  <si>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</si>
  <si>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</si>
  <si>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</si>
  <si>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</si>
  <si>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</si>
  <si>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</si>
  <si>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</si>
  <si>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</si>
  <si>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</si>
  <si>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</si>
  <si>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</si>
  <si>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</si>
  <si>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</si>
  <si>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</si>
  <si>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</si>
  <si>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</si>
  <si>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</si>
  <si>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</si>
  <si>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</si>
  <si>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</si>
  <si>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</si>
  <si>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</si>
  <si>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</si>
  <si>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</si>
  <si>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</si>
  <si>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</si>
  <si>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</si>
  <si>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</si>
  <si>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</si>
  <si>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</si>
  <si>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</si>
  <si>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</si>
  <si>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</si>
  <si>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</si>
  <si>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</si>
  <si>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</si>
  <si>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</si>
  <si>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</si>
  <si>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</si>
  <si>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</si>
  <si>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</si>
  <si>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</si>
  <si>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</si>
  <si>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</si>
  <si>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</si>
  <si>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</si>
  <si>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</si>
  <si>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</si>
  <si>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</si>
  <si>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</si>
  <si>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</si>
  <si>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</si>
  <si>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</si>
  <si>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</si>
  <si>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</si>
  <si>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</si>
  <si>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</si>
  <si>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</si>
  <si>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</si>
  <si>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</si>
  <si>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</si>
  <si>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</si>
  <si>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</si>
  <si>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</si>
  <si>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</si>
  <si>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</si>
  <si>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</si>
  <si>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</si>
  <si>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</si>
  <si>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</si>
  <si>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</si>
  <si>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</si>
  <si>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</si>
  <si>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</si>
  <si>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</si>
  <si>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</si>
  <si>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</si>
  <si>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</si>
  <si>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</si>
  <si>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</si>
  <si>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</si>
  <si>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</si>
  <si>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</si>
  <si>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</si>
  <si>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</si>
  <si>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</si>
  <si>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</si>
  <si>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</si>
  <si>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</si>
  <si>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</si>
  <si>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</si>
  <si>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</si>
  <si>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</si>
  <si>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</si>
  <si>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</si>
  <si>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</si>
  <si>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</si>
  <si>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</si>
  <si>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</si>
  <si>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</si>
  <si>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</si>
  <si>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</si>
  <si>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</si>
  <si>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</si>
  <si>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</si>
  <si>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</si>
  <si>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</si>
  <si>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</si>
  <si>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</si>
  <si>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</si>
  <si>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</si>
  <si>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</si>
  <si>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</si>
  <si>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</si>
  <si>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</si>
  <si>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</si>
  <si>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</si>
  <si>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</si>
  <si>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</si>
  <si>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</si>
  <si>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</si>
  <si>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</si>
  <si>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</si>
  <si>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</si>
  <si>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</si>
  <si>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</si>
  <si>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</si>
  <si>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</si>
  <si>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</si>
  <si>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</si>
  <si>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</si>
  <si>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</si>
  <si>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</si>
  <si>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</si>
  <si>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</si>
  <si>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</si>
  <si>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</si>
  <si>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</si>
  <si>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</si>
  <si>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</si>
  <si>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</si>
  <si>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</si>
  <si>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</si>
  <si>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</si>
  <si>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</si>
  <si>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</si>
  <si>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</si>
  <si>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</si>
  <si>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</si>
  <si>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</si>
  <si>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</si>
  <si>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</si>
  <si>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</si>
  <si>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</si>
  <si>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</si>
  <si>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</si>
  <si>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</si>
  <si>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</si>
  <si>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</si>
  <si>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</si>
  <si>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</si>
  <si>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</si>
  <si>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</si>
  <si>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</si>
  <si>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</si>
  <si>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</si>
  <si>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</si>
  <si>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</si>
  <si>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</si>
  <si>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</si>
  <si>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</si>
  <si>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</si>
  <si>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</si>
  <si>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</si>
  <si>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</si>
  <si>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</si>
  <si>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</si>
  <si>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</si>
  <si>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</si>
  <si>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</si>
  <si>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</si>
  <si>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</si>
  <si>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</si>
  <si>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</si>
  <si>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</si>
  <si>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</si>
  <si>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</si>
  <si>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</si>
  <si>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</si>
  <si>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</si>
  <si>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</si>
  <si>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</si>
  <si>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</si>
  <si>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</si>
  <si>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</si>
  <si>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</si>
  <si>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</si>
  <si>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</si>
  <si>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</si>
  <si>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</si>
  <si>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</si>
  <si>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</si>
  <si>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</si>
  <si>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</si>
  <si>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</si>
  <si>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</si>
  <si>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</si>
  <si>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</si>
  <si>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</si>
  <si>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</si>
  <si>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</si>
  <si>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</si>
  <si>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</si>
  <si>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</si>
  <si>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</si>
  <si>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</si>
  <si>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</si>
  <si>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</si>
  <si>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</si>
  <si>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</si>
  <si>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</si>
  <si>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</si>
  <si>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</si>
  <si>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</si>
  <si>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</si>
  <si>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</si>
  <si>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</si>
  <si>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</si>
  <si>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</si>
  <si>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</si>
  <si>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</si>
  <si>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</si>
  <si>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</si>
  <si>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</si>
  <si>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</si>
  <si>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</si>
  <si>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</si>
  <si>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</si>
  <si>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</si>
  <si>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</si>
  <si>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</si>
  <si>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</si>
  <si>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</si>
  <si>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</si>
  <si>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</si>
  <si>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</si>
  <si>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</si>
  <si>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</si>
  <si>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</si>
  <si>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</si>
  <si>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</si>
  <si>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</si>
  <si>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</si>
  <si>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</si>
  <si>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</si>
  <si>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</si>
  <si>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</si>
  <si>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</si>
  <si>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</si>
  <si>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</si>
  <si>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</si>
  <si>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</si>
  <si>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</si>
  <si>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</si>
  <si>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</si>
  <si>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</si>
  <si>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</si>
  <si>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</si>
  <si>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</si>
  <si>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</si>
  <si>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</si>
  <si>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</si>
  <si>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</si>
  <si>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</si>
  <si>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</si>
  <si>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</si>
  <si>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</si>
  <si>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</si>
  <si>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</si>
  <si>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</si>
  <si>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</si>
  <si>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</si>
  <si>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</si>
  <si>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</si>
  <si>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</si>
  <si>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</si>
  <si>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</si>
  <si>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</si>
  <si>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</si>
  <si>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</si>
  <si>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</si>
  <si>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</si>
  <si>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</si>
  <si>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</si>
  <si>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</si>
  <si>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</si>
  <si>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</si>
  <si>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</si>
  <si>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</si>
  <si>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</si>
  <si>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</si>
  <si>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</si>
  <si>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</si>
  <si>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</si>
  <si>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</si>
  <si>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</si>
  <si>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</si>
  <si>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</si>
  <si>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</si>
  <si>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</si>
  <si>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</si>
  <si>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</si>
  <si>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</si>
  <si>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</si>
  <si>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</si>
  <si>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</si>
  <si>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</si>
  <si>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</si>
  <si>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</si>
  <si>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</si>
  <si>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</si>
  <si>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</si>
  <si>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</si>
  <si>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</si>
  <si>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</si>
  <si>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</si>
  <si>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</si>
  <si>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</si>
  <si>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</si>
  <si>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</si>
  <si>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</si>
  <si>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</si>
  <si>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</si>
  <si>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</si>
  <si>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</si>
  <si>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</si>
  <si>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</si>
  <si>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</si>
  <si>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</si>
  <si>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</si>
  <si>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</si>
  <si>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</si>
  <si>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</si>
  <si>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</si>
  <si>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</si>
  <si>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</si>
  <si>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</si>
  <si>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</si>
  <si>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</si>
  <si>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</si>
  <si>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</si>
  <si>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</si>
  <si>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</si>
  <si>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</si>
  <si>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</si>
  <si>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</si>
  <si>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</si>
  <si>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</si>
  <si>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</si>
  <si>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</si>
  <si>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</si>
  <si>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</si>
  <si>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</si>
  <si>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</si>
  <si>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</si>
  <si>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</si>
  <si>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</si>
  <si>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</si>
  <si>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</si>
  <si>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</si>
  <si>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</si>
  <si>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</si>
  <si>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</si>
  <si>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</si>
  <si>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</si>
  <si>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</si>
  <si>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</si>
  <si>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</si>
  <si>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</si>
  <si>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</si>
  <si>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</si>
  <si>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</si>
  <si>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</si>
  <si>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</si>
  <si>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</si>
  <si>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</si>
  <si>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</si>
  <si>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</si>
  <si>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</si>
  <si>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</si>
  <si>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</si>
  <si>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</si>
  <si>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</si>
  <si>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</si>
  <si>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</si>
  <si>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</si>
  <si>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</si>
  <si>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</si>
  <si>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</si>
  <si>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</si>
  <si>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</si>
  <si>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</si>
  <si>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</si>
  <si>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</si>
  <si>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</si>
  <si>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</si>
  <si>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</si>
  <si>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</si>
  <si>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</si>
  <si>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</si>
  <si>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</si>
  <si>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</si>
  <si>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</si>
  <si>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</si>
  <si>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</si>
  <si>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</si>
  <si>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</si>
  <si>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</si>
  <si>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</si>
  <si>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</si>
  <si>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</si>
  <si>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</si>
  <si>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</si>
  <si>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</si>
  <si>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</si>
  <si>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</si>
  <si>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</si>
  <si>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</si>
  <si>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</si>
  <si>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</si>
  <si>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</si>
  <si>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</si>
  <si>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</si>
  <si>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</si>
  <si>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</si>
  <si>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</si>
  <si>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</si>
  <si>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</si>
  <si>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</si>
  <si>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</si>
  <si>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</si>
  <si>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</si>
  <si>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</si>
  <si>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</si>
  <si>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</si>
  <si>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</si>
  <si>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</si>
  <si>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</si>
  <si>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</si>
  <si>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</si>
  <si>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</si>
  <si>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</si>
  <si>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</si>
  <si>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</si>
  <si>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</si>
  <si>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</si>
  <si>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</si>
  <si>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</si>
  <si>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</si>
  <si>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</si>
  <si>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</si>
  <si>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</si>
  <si>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</si>
  <si>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</si>
  <si>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</si>
  <si>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</si>
  <si>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</si>
  <si>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</si>
  <si>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</si>
  <si>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</si>
  <si>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</si>
  <si>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</si>
  <si>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</si>
  <si>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</si>
  <si>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</si>
  <si>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</si>
  <si>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</si>
  <si>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</si>
  <si>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</si>
  <si>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</si>
  <si>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</si>
  <si>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</si>
  <si>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</si>
  <si>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</si>
  <si>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</si>
  <si>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</si>
  <si>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</si>
  <si>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</si>
  <si>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</si>
  <si>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</si>
  <si>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</si>
  <si>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</si>
  <si>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</si>
  <si>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</si>
  <si>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</si>
  <si>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</si>
  <si>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</si>
  <si>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</si>
  <si>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</si>
  <si>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</si>
  <si>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</si>
  <si>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</si>
  <si>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</si>
  <si>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</si>
  <si>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</si>
  <si>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</si>
  <si>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</si>
  <si>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</si>
  <si>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</si>
  <si>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</si>
  <si>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</si>
  <si>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</si>
  <si>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</si>
  <si>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</si>
  <si>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</si>
  <si>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</si>
  <si>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</si>
  <si>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</si>
  <si>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</si>
  <si>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</si>
  <si>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</si>
  <si>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</si>
  <si>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</si>
  <si>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</si>
  <si>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</si>
  <si>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</si>
  <si>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</si>
  <si>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</si>
  <si>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</si>
  <si>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</si>
  <si>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</si>
  <si>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</si>
  <si>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</si>
  <si>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</si>
  <si>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</si>
  <si>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</si>
  <si>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</si>
  <si>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</si>
  <si>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</si>
  <si>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</si>
  <si>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</si>
  <si>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</si>
  <si>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</si>
  <si>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</si>
  <si>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</si>
  <si>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</si>
  <si>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</si>
  <si>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</si>
  <si>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</si>
  <si>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</si>
  <si>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</si>
  <si>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</si>
  <si>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</si>
  <si>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</si>
  <si>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</si>
  <si>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</si>
  <si>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</si>
  <si>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</si>
  <si>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</si>
  <si>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</si>
  <si>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</si>
  <si>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</si>
  <si>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</si>
  <si>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</si>
  <si>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</si>
  <si>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</si>
  <si>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</si>
  <si>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</si>
  <si>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</si>
  <si>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</si>
  <si>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</si>
  <si>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</si>
  <si>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</si>
  <si>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</si>
  <si>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</si>
  <si>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</si>
  <si>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</si>
  <si>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</si>
  <si>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</si>
  <si>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</si>
  <si>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</si>
  <si>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</si>
  <si>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</si>
  <si>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</si>
  <si>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</si>
  <si>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</si>
  <si>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</si>
  <si>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</si>
  <si>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</si>
  <si>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</si>
  <si>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</si>
  <si>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</si>
  <si>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</si>
  <si>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</si>
  <si>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</si>
  <si>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</si>
  <si>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</si>
  <si>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</si>
  <si>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</si>
  <si>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</si>
  <si>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</si>
  <si>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</si>
  <si>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</si>
  <si>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</si>
  <si>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</si>
  <si>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</si>
  <si>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</si>
  <si>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</si>
  <si>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</si>
  <si>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</si>
  <si>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</si>
  <si>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</si>
  <si>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</si>
  <si>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</si>
  <si>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</si>
  <si>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</si>
  <si>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</si>
  <si>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</si>
  <si>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</si>
  <si>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</si>
  <si>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</si>
  <si>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</si>
  <si>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</si>
  <si>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</si>
  <si>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</si>
  <si>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</si>
  <si>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</si>
  <si>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</si>
  <si>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</si>
  <si>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</si>
  <si>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</si>
  <si>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</si>
  <si>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</si>
  <si>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</si>
  <si>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</si>
  <si>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</si>
  <si>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</si>
  <si>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</si>
  <si>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</si>
  <si>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</si>
  <si>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</si>
  <si>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</si>
  <si>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</si>
  <si>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</si>
  <si>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</si>
  <si>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</si>
  <si>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</si>
  <si>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</si>
  <si>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</si>
  <si>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</si>
  <si>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</si>
  <si>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</si>
  <si>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</si>
  <si>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</si>
  <si>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</si>
  <si>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</si>
  <si>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</si>
  <si>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</si>
  <si>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</si>
  <si>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</si>
  <si>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</si>
  <si>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</si>
  <si>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</si>
  <si>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</si>
  <si>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</si>
  <si>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</si>
  <si>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</si>
  <si>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</si>
  <si>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</si>
  <si>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</si>
  <si>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</si>
  <si>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</si>
  <si>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</si>
  <si>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</si>
  <si>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</si>
  <si>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</si>
  <si>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</si>
  <si>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</si>
  <si>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</si>
  <si>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</si>
  <si>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</si>
  <si>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</si>
  <si>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</si>
  <si>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</si>
  <si>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</si>
  <si>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</si>
  <si>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</si>
  <si>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</si>
  <si>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</si>
  <si>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</si>
  <si>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</si>
  <si>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</si>
  <si>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</si>
  <si>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</si>
  <si>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</si>
  <si>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</si>
  <si>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</si>
  <si>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</si>
  <si>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</si>
  <si>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</si>
  <si>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</si>
  <si>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</si>
  <si>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</si>
  <si>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</si>
  <si>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</si>
  <si>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</si>
  <si>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</si>
  <si>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</si>
  <si>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</si>
  <si>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</si>
  <si>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</si>
  <si>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</si>
  <si>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</si>
  <si>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</si>
  <si>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</si>
  <si>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</si>
  <si>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</si>
  <si>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</si>
  <si>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</si>
  <si>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</si>
  <si>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</si>
  <si>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</si>
  <si>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</si>
  <si>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</si>
  <si>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</si>
  <si>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</si>
  <si>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</si>
  <si>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</si>
  <si>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</si>
  <si>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</si>
  <si>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</si>
  <si>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</si>
  <si>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</si>
  <si>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</si>
  <si>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</si>
  <si>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</si>
  <si>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</si>
  <si>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</si>
  <si>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</si>
  <si>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</si>
  <si>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</si>
  <si>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</si>
  <si>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</si>
  <si>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</si>
  <si>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</si>
  <si>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</si>
  <si>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</si>
  <si>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</si>
  <si>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</si>
  <si>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</si>
  <si>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</si>
  <si>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</si>
  <si>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</si>
  <si>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</si>
  <si>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</si>
  <si>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</si>
  <si>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</si>
  <si>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</si>
  <si>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</si>
  <si>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</si>
  <si>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</si>
  <si>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</si>
  <si>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</si>
  <si>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</si>
  <si>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</si>
  <si>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</si>
  <si>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</si>
  <si>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</si>
  <si>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</si>
  <si>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</si>
  <si>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</si>
  <si>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</si>
  <si>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</si>
  <si>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</si>
  <si>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</si>
  <si>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</si>
  <si>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</si>
  <si>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</si>
  <si>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</si>
  <si>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</si>
  <si>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</si>
  <si>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</si>
  <si>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</si>
  <si>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</si>
  <si>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</si>
  <si>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</si>
  <si>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</si>
  <si>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</si>
  <si>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</si>
  <si>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</si>
  <si>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</si>
  <si>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</si>
  <si>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</si>
  <si>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</si>
  <si>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</si>
  <si>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</si>
  <si>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</si>
  <si>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</si>
  <si>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</si>
  <si>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</si>
  <si>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</si>
  <si>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</si>
  <si>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</si>
  <si>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</si>
  <si>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</si>
  <si>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</si>
  <si>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</si>
  <si>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</si>
  <si>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</si>
  <si>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</si>
  <si>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</si>
  <si>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</si>
  <si>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</si>
  <si>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</si>
  <si>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</si>
  <si>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</si>
  <si>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</si>
  <si>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</si>
  <si>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</si>
  <si>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</si>
  <si>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</si>
  <si>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</si>
  <si>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</si>
  <si>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</si>
  <si>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</si>
  <si>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</si>
  <si>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</si>
  <si>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</si>
  <si>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</si>
  <si>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</si>
  <si>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</si>
  <si>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</si>
  <si>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</si>
  <si>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</si>
  <si>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</si>
  <si>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</si>
  <si>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</si>
  <si>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</si>
  <si>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</si>
  <si>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</si>
  <si>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</si>
  <si>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</si>
  <si>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</si>
  <si>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</si>
  <si>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</si>
  <si>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</si>
  <si>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</si>
  <si>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</si>
  <si>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</si>
  <si>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</si>
  <si>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</si>
  <si>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</si>
  <si>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</si>
  <si>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</si>
  <si>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</si>
  <si>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</si>
  <si>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</si>
  <si>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</si>
  <si>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</si>
  <si>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</si>
  <si>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</si>
  <si>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</si>
  <si>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</si>
  <si>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</si>
  <si>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</si>
  <si>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</si>
  <si>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</si>
  <si>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</si>
  <si>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</si>
  <si>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</si>
  <si>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</si>
  <si>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</si>
  <si>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</si>
  <si>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</si>
  <si>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</si>
  <si>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</si>
  <si>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</si>
  <si>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</si>
  <si>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</si>
  <si>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</si>
  <si>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</si>
  <si>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</si>
  <si>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</si>
  <si>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</si>
  <si>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</si>
  <si>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</si>
  <si>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</si>
  <si>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</si>
  <si>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</si>
  <si>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</si>
  <si>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</si>
  <si>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</si>
  <si>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</si>
  <si>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</si>
  <si>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</si>
  <si>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</si>
  <si>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</si>
  <si>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</si>
  <si>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</si>
  <si>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</si>
  <si>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</si>
  <si>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</si>
  <si>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</si>
  <si>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</si>
  <si>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</si>
  <si>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</si>
  <si>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</si>
  <si>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</si>
  <si>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</si>
  <si>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</si>
  <si>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</si>
  <si>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</si>
  <si>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</si>
  <si>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</si>
  <si>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</si>
  <si>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</si>
  <si>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</si>
  <si>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</si>
  <si>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</si>
  <si>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</si>
  <si>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</si>
  <si>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</si>
  <si>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</si>
  <si>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</si>
  <si>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</si>
  <si>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</si>
  <si>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</si>
  <si>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</si>
  <si>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</si>
  <si>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</si>
  <si>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</si>
  <si>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</si>
  <si>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</si>
  <si>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</si>
  <si>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</si>
  <si>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</si>
  <si>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</si>
  <si>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</si>
  <si>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</si>
  <si>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</si>
  <si>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</si>
  <si>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</si>
  <si>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</si>
  <si>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</si>
  <si>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</si>
  <si>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</si>
  <si>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</si>
  <si>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</si>
  <si>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</si>
  <si>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</si>
  <si>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</si>
  <si>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</si>
  <si>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</si>
  <si>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</si>
  <si>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</si>
  <si>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</si>
  <si>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</si>
  <si>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</si>
  <si>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</si>
  <si>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</si>
  <si>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</si>
  <si>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</si>
  <si>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</si>
  <si>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</si>
  <si>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</si>
  <si>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</si>
  <si>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</si>
  <si>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</si>
  <si>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</si>
  <si>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</si>
  <si>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</si>
  <si>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</si>
  <si>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</si>
  <si>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</si>
  <si>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</si>
  <si>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</si>
  <si>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</si>
  <si>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</si>
  <si>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</si>
  <si>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</si>
  <si>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</si>
  <si>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</si>
  <si>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</si>
  <si>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</si>
  <si>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</si>
  <si>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</si>
  <si>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</si>
  <si>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</si>
  <si>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</si>
  <si>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</si>
  <si>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</si>
  <si>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</si>
  <si>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</si>
  <si>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</si>
  <si>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</si>
  <si>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</si>
  <si>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</si>
  <si>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</si>
  <si>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</si>
  <si>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</si>
  <si>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</si>
  <si>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</si>
  <si>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</si>
  <si>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</si>
  <si>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</si>
  <si>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</si>
  <si>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</si>
  <si>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</si>
  <si>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</si>
  <si>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</si>
  <si>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</si>
  <si>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</si>
  <si>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</si>
  <si>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</si>
  <si>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</si>
  <si>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</si>
  <si>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</si>
  <si>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</si>
  <si>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</si>
  <si>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</si>
  <si>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</si>
  <si>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</si>
  <si>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</si>
  <si>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</si>
  <si>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</si>
  <si>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</si>
  <si>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</si>
  <si>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</si>
  <si>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</si>
  <si>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</si>
  <si>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</si>
  <si>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</si>
  <si>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</si>
  <si>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</si>
  <si>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</si>
  <si>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</si>
  <si>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</si>
  <si>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</si>
  <si>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</si>
  <si>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</si>
  <si>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</si>
  <si>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</si>
  <si>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</si>
  <si>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</si>
  <si>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</si>
  <si>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</si>
  <si>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</si>
  <si>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</si>
  <si>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</si>
  <si>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</si>
  <si>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</si>
  <si>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</si>
  <si>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</si>
  <si>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</si>
  <si>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</si>
  <si>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</si>
  <si>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</si>
  <si>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</si>
  <si>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</si>
  <si>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</si>
  <si>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</si>
  <si>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</si>
  <si>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</si>
  <si>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</si>
  <si>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</si>
  <si>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</si>
  <si>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</si>
  <si>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</si>
  <si>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</si>
  <si>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</si>
  <si>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</si>
  <si>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</si>
  <si>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</si>
  <si>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</si>
  <si>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</si>
  <si>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</si>
  <si>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</si>
  <si>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</si>
  <si>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</si>
  <si>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</si>
  <si>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</si>
  <si>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</si>
  <si>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</si>
  <si>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</si>
  <si>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</si>
  <si>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</si>
  <si>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</si>
  <si>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</si>
  <si>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</si>
  <si>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</si>
  <si>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</si>
  <si>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</si>
  <si>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</si>
  <si>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</si>
  <si>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</si>
  <si>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</si>
  <si>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</si>
  <si>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</si>
  <si>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</si>
  <si>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</si>
  <si>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</si>
  <si>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</si>
  <si>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</si>
  <si>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</si>
  <si>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</si>
  <si>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</si>
  <si>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</si>
  <si>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</si>
  <si>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</si>
  <si>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</si>
  <si>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</si>
  <si>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</si>
  <si>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</si>
  <si>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</si>
  <si>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</si>
  <si>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</si>
  <si>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</si>
  <si>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</si>
  <si>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</si>
  <si>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</si>
  <si>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</si>
  <si>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</si>
  <si>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</si>
  <si>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</si>
  <si>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</si>
  <si>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</si>
  <si>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</si>
  <si>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</si>
  <si>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</si>
  <si>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</si>
  <si>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</si>
  <si>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</si>
  <si>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</si>
  <si>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</si>
  <si>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</si>
  <si>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</si>
  <si>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</si>
  <si>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</si>
  <si>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</si>
  <si>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</si>
  <si>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</si>
  <si>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</si>
  <si>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</si>
  <si>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</si>
  <si>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</si>
  <si>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</si>
  <si>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</si>
  <si>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</si>
  <si>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</si>
  <si>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</si>
  <si>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</si>
  <si>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</si>
  <si>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</si>
  <si>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</si>
  <si>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</si>
  <si>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</si>
  <si>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</si>
  <si>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</si>
  <si>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</si>
  <si>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</si>
  <si>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</si>
  <si>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</si>
  <si>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</si>
  <si>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</si>
  <si>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</si>
  <si>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</si>
  <si>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</si>
  <si>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</si>
  <si>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</si>
  <si>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</si>
  <si>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</si>
  <si>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</si>
  <si>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</si>
  <si>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</si>
  <si>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</si>
  <si>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</si>
  <si>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</si>
  <si>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</si>
  <si>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</si>
  <si>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</si>
  <si>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</si>
  <si>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</si>
  <si>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</si>
  <si>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</si>
  <si>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</si>
  <si>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</si>
  <si>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</si>
  <si>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</si>
  <si>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</si>
  <si>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</si>
  <si>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</si>
  <si>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</si>
  <si>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</si>
  <si>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</si>
  <si>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</si>
  <si>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</si>
  <si>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</si>
  <si>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</si>
  <si>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</si>
  <si>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</si>
  <si>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</si>
  <si>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</si>
  <si>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</si>
  <si>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</si>
  <si>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</si>
  <si>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</si>
  <si>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</si>
  <si>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</si>
  <si>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</si>
  <si>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</si>
  <si>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</si>
  <si>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</si>
  <si>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</si>
  <si>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</si>
  <si>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</si>
  <si>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</si>
  <si>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</si>
  <si>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</si>
  <si>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</si>
  <si>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</si>
  <si>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</si>
  <si>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</si>
  <si>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</si>
  <si>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</si>
  <si>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</si>
  <si>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</si>
  <si>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</si>
  <si>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</si>
  <si>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</si>
  <si>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</si>
  <si>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</si>
  <si>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</si>
  <si>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</si>
  <si>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</si>
  <si>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</si>
  <si>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</si>
  <si>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</si>
  <si>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</si>
  <si>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</si>
  <si>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</si>
  <si>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</si>
  <si>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</si>
  <si>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</si>
  <si>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</si>
  <si>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</si>
  <si>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</si>
  <si>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</si>
  <si>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</si>
  <si>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</si>
  <si>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</si>
  <si>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</si>
  <si>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</si>
  <si>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</si>
  <si>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</si>
  <si>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</si>
  <si>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</si>
  <si>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</si>
  <si>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</si>
  <si>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</si>
  <si>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</si>
  <si>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</si>
  <si>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</si>
  <si>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</si>
  <si>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</si>
  <si>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</si>
  <si>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</si>
  <si>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</si>
  <si>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</si>
  <si>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</si>
  <si>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</si>
  <si>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</si>
  <si>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</si>
  <si>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</si>
  <si>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</si>
  <si>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</si>
  <si>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</si>
  <si>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</si>
  <si>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</si>
  <si>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</si>
  <si>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</si>
  <si>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</si>
  <si>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</si>
  <si>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</si>
  <si>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</si>
  <si>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</si>
  <si>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</si>
  <si>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</si>
  <si>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</si>
  <si>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</si>
  <si>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</si>
  <si>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</si>
  <si>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</si>
  <si>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</si>
  <si>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</si>
  <si>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</si>
  <si>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</si>
  <si>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</si>
  <si>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</si>
  <si>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</si>
  <si>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</si>
  <si>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</si>
  <si>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</si>
  <si>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</si>
  <si>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</si>
  <si>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</si>
  <si>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</si>
  <si>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</si>
  <si>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</si>
  <si>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</si>
  <si>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</si>
  <si>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</si>
  <si>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</si>
  <si>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</si>
  <si>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</si>
  <si>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</si>
  <si>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</si>
  <si>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</si>
  <si>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</si>
  <si>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</si>
  <si>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</si>
  <si>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</si>
  <si>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</si>
  <si>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</si>
  <si>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</si>
  <si>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</si>
  <si>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</si>
  <si>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</si>
  <si>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</si>
  <si>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</si>
  <si>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</si>
  <si>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</si>
  <si>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</si>
  <si>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</si>
  <si>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</si>
  <si>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</si>
  <si>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</si>
  <si>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</si>
  <si>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</si>
  <si>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</si>
  <si>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</si>
  <si>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</si>
  <si>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</si>
  <si>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</si>
  <si>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</si>
  <si>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</si>
  <si>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</si>
  <si>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</si>
  <si>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</si>
  <si>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</si>
  <si>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</si>
  <si>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</si>
  <si>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</si>
  <si>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</si>
  <si>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</si>
  <si>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</si>
  <si>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</si>
  <si>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</si>
  <si>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</si>
  <si>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</si>
  <si>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</si>
  <si>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</si>
  <si>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</si>
  <si>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</si>
  <si>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</si>
  <si>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</si>
  <si>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</si>
  <si>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</si>
  <si>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</si>
  <si>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</si>
  <si>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</si>
  <si>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</si>
  <si>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</si>
  <si>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</si>
  <si>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</si>
  <si>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</si>
  <si>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</si>
  <si>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</si>
  <si>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</si>
  <si>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</si>
  <si>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</si>
  <si>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</si>
  <si>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</si>
  <si>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</si>
  <si>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</si>
  <si>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</si>
  <si>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</si>
  <si>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</si>
  <si>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</si>
  <si>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</si>
  <si>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</si>
  <si>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</si>
  <si>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</si>
  <si>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</si>
  <si>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</si>
  <si>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</si>
  <si>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</si>
  <si>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</si>
  <si>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</si>
  <si>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</si>
  <si>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</si>
  <si>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</si>
  <si>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</si>
  <si>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</si>
  <si>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</si>
  <si>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</si>
  <si>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</si>
  <si>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</si>
  <si>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</si>
  <si>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</si>
  <si>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</si>
  <si>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</si>
  <si>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</si>
  <si>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</si>
  <si>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</si>
  <si>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</si>
  <si>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</si>
  <si>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</si>
  <si>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</si>
  <si>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</si>
  <si>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</si>
  <si>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</si>
  <si>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</si>
  <si>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</si>
  <si>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</si>
  <si>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</si>
  <si>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</si>
  <si>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</si>
  <si>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</si>
  <si>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</si>
  <si>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</si>
  <si>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</si>
  <si>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</si>
  <si>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</si>
  <si>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</si>
  <si>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</si>
  <si>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</si>
  <si>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</si>
  <si>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</si>
  <si>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</si>
  <si>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</si>
  <si>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</si>
  <si>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</si>
  <si>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</si>
  <si>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</si>
  <si>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</si>
  <si>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</si>
  <si>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</si>
  <si>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</si>
  <si>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</si>
  <si>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</si>
  <si>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</si>
  <si>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</si>
  <si>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</si>
  <si>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</si>
  <si>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</si>
  <si>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</si>
  <si>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</si>
  <si>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</si>
  <si>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</si>
  <si>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</si>
  <si>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</si>
  <si>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</si>
  <si>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</si>
  <si>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</si>
  <si>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</si>
  <si>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</si>
  <si>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</si>
  <si>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</si>
  <si>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</si>
  <si>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</si>
  <si>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</si>
  <si>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</si>
  <si>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</si>
  <si>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</si>
  <si>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</si>
  <si>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</si>
  <si>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</si>
  <si>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</si>
  <si>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</si>
  <si>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</si>
  <si>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</si>
  <si>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</si>
  <si>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</si>
  <si>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</si>
  <si>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</si>
  <si>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</si>
  <si>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</si>
  <si>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</si>
  <si>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</si>
  <si>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</si>
  <si>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</si>
  <si>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</si>
  <si>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</si>
  <si>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</si>
  <si>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</si>
  <si>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</si>
  <si>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</si>
  <si>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</si>
  <si>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</si>
  <si>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</si>
  <si>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</si>
  <si>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</si>
  <si>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</si>
  <si>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</si>
  <si>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</si>
  <si>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</si>
  <si>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</si>
  <si>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</si>
  <si>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</si>
  <si>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</si>
  <si>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</si>
  <si>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</si>
  <si>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</si>
  <si>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</si>
  <si>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</si>
  <si>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</si>
  <si>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</si>
  <si>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</si>
  <si>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</si>
  <si>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</si>
  <si>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</si>
  <si>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</si>
  <si>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</si>
  <si>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</si>
  <si>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</si>
  <si>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</si>
  <si>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</si>
  <si>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</si>
  <si>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</si>
  <si>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</si>
  <si>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</si>
  <si>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</si>
  <si>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</si>
  <si>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</si>
  <si>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</si>
  <si>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</si>
  <si>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</si>
  <si>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</si>
  <si>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</si>
  <si>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</si>
  <si>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</si>
  <si>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</si>
  <si>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</si>
  <si>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</si>
  <si>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</si>
  <si>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</si>
  <si>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</si>
  <si>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</si>
  <si>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</si>
  <si>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</si>
  <si>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</si>
  <si>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</si>
  <si>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</si>
  <si>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</si>
  <si>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</si>
  <si>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</si>
  <si>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</si>
  <si>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</si>
  <si>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</si>
  <si>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</si>
  <si>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</si>
  <si>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</si>
  <si>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</si>
  <si>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</si>
  <si>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</si>
  <si>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</si>
  <si>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</si>
  <si>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</si>
  <si>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</si>
  <si>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</si>
  <si>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</si>
  <si>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</si>
  <si>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</si>
  <si>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</si>
  <si>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</si>
  <si>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</si>
  <si>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</si>
  <si>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</si>
  <si>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</si>
  <si>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</si>
  <si>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</si>
  <si>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</si>
  <si>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</si>
  <si>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</si>
  <si>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</si>
  <si>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</si>
  <si>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</si>
  <si>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</si>
  <si>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</si>
  <si>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</si>
  <si>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</si>
  <si>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</si>
  <si>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</si>
  <si>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</si>
  <si>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</si>
  <si>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</si>
  <si>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</si>
  <si>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</si>
  <si>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</si>
  <si>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</si>
  <si>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</si>
  <si>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</si>
  <si>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</si>
  <si>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</si>
  <si>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</si>
  <si>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</si>
  <si>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</si>
  <si>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</si>
  <si>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</si>
  <si>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</si>
  <si>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</si>
  <si>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</si>
  <si>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</si>
  <si>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</si>
  <si>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</si>
  <si>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</si>
  <si>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</si>
  <si>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</si>
  <si>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</si>
  <si>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</si>
  <si>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</si>
  <si>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</si>
  <si>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</si>
  <si>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</si>
  <si>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</si>
  <si>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</si>
  <si>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</si>
  <si>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</si>
  <si>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</si>
  <si>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</si>
  <si>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</si>
  <si>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</si>
  <si>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</si>
  <si>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</si>
  <si>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</si>
  <si>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</si>
  <si>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</si>
  <si>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</si>
  <si>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</si>
  <si>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</si>
  <si>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</si>
  <si>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</si>
  <si>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</si>
  <si>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</si>
  <si>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</si>
  <si>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</si>
  <si>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</si>
  <si>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</si>
  <si>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</si>
  <si>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</si>
  <si>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</si>
  <si>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</si>
  <si>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</si>
  <si>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</si>
  <si>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</si>
  <si>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</si>
  <si>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</si>
  <si>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</si>
  <si>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</si>
  <si>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</si>
  <si>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</si>
  <si>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</si>
  <si>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</si>
  <si>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</si>
  <si>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</si>
  <si>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</si>
  <si>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</si>
  <si>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</si>
  <si>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</si>
  <si>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</si>
  <si>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</si>
  <si>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</si>
  <si>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</si>
  <si>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</si>
  <si>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</si>
  <si>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</si>
  <si>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</si>
  <si>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</si>
  <si>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</si>
  <si>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</si>
  <si>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</si>
  <si>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</si>
  <si>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</si>
  <si>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</si>
  <si>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</si>
  <si>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</si>
  <si>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</si>
  <si>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</si>
  <si>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</si>
  <si>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</si>
  <si>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</si>
  <si>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</si>
  <si>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</si>
  <si>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</si>
  <si>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</si>
  <si>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</si>
  <si>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</si>
  <si>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</si>
  <si>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</si>
  <si>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</si>
  <si>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</si>
  <si>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</si>
  <si>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</si>
  <si>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</si>
  <si>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</si>
  <si>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</si>
  <si>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</si>
  <si>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</si>
  <si>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</si>
  <si>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</si>
  <si>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</si>
  <si>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</si>
  <si>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</si>
  <si>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</si>
  <si>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</si>
  <si>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</si>
  <si>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</si>
  <si>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</si>
  <si>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</si>
  <si>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</si>
  <si>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</si>
  <si>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</si>
  <si>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</si>
  <si>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</si>
  <si>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</si>
  <si>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</si>
  <si>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</si>
  <si>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</si>
  <si>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</si>
  <si>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</si>
  <si>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</si>
  <si>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</si>
  <si>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</si>
  <si>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</si>
  <si>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</si>
  <si>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</si>
  <si>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</si>
  <si>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</si>
  <si>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</si>
  <si>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</si>
  <si>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</si>
  <si>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</si>
  <si>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</si>
  <si>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</si>
  <si>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</si>
  <si>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</si>
  <si>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</si>
  <si>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</si>
  <si>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</si>
  <si>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</si>
  <si>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</si>
  <si>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</si>
  <si>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</si>
  <si>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</si>
  <si>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</si>
  <si>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</si>
  <si>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</si>
  <si>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</si>
  <si>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</si>
  <si>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</si>
  <si>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</si>
  <si>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</si>
  <si>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</si>
  <si>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</si>
  <si>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</si>
  <si>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</si>
  <si>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</si>
  <si>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</si>
  <si>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</si>
  <si>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</si>
  <si>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</si>
  <si>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</si>
  <si>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</si>
  <si>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</si>
  <si>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</si>
  <si>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</si>
  <si>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</si>
  <si>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</si>
  <si>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</si>
  <si>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</si>
  <si>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</si>
  <si>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</si>
  <si>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</si>
  <si>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</si>
  <si>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</si>
  <si>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</si>
  <si>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</si>
  <si>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</si>
  <si>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</si>
  <si>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</si>
  <si>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</si>
  <si>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</si>
  <si>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</si>
  <si>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</si>
  <si>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</si>
  <si>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</si>
  <si>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</si>
  <si>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</si>
  <si>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</si>
  <si>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</si>
  <si>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</si>
  <si>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</si>
  <si>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</si>
  <si>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</si>
  <si>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</si>
  <si>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</si>
  <si>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</si>
  <si>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</si>
  <si>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</si>
  <si>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</si>
  <si>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</si>
  <si>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</si>
  <si>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</si>
  <si>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</si>
  <si>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</si>
  <si>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</si>
  <si>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</si>
  <si>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</si>
  <si>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</si>
  <si>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</si>
  <si>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</si>
  <si>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</si>
  <si>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</si>
  <si>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</si>
  <si>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</si>
  <si>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</si>
  <si>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</si>
  <si>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</si>
  <si>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</si>
  <si>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</si>
  <si>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</si>
  <si>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</si>
  <si>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</si>
  <si>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</si>
  <si>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</si>
  <si>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</si>
  <si>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</si>
  <si>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</si>
  <si>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</si>
  <si>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</si>
  <si>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</si>
  <si>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</si>
  <si>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</si>
  <si>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</si>
  <si>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</si>
  <si>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</si>
  <si>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</si>
  <si>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</si>
  <si>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</si>
  <si>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</si>
  <si>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</si>
  <si>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</si>
  <si>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</si>
  <si>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</si>
  <si>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</si>
  <si>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</si>
  <si>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</si>
  <si>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</si>
  <si>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</si>
  <si>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</si>
  <si>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</si>
  <si>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</si>
  <si>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</si>
  <si>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</si>
  <si>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</si>
  <si>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</si>
  <si>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</si>
  <si>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</si>
  <si>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</si>
  <si>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</si>
  <si>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</si>
  <si>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</si>
  <si>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</si>
  <si>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</si>
  <si>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</si>
  <si>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</si>
  <si>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</si>
  <si>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</si>
  <si>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</si>
  <si>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</si>
  <si>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</si>
  <si>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</si>
  <si>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</si>
  <si>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</si>
  <si>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</si>
  <si>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</si>
  <si>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</si>
  <si>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</si>
  <si>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</si>
  <si>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</si>
  <si>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</si>
  <si>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</si>
  <si>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</si>
  <si>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</si>
  <si>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</si>
  <si>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</si>
  <si>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</si>
  <si>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</si>
  <si>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</si>
  <si>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</si>
  <si>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</si>
  <si>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</si>
  <si>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</si>
  <si>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</si>
  <si>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</si>
  <si>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</si>
  <si>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</si>
  <si>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</si>
  <si>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</si>
  <si>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</si>
  <si>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</si>
  <si>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</si>
  <si>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</si>
  <si>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</si>
  <si>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</si>
  <si>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</si>
  <si>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</si>
  <si>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</si>
  <si>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</si>
  <si>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</si>
  <si>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</si>
  <si>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</si>
  <si>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</si>
  <si>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</si>
  <si>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</si>
  <si>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</si>
  <si>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</si>
  <si>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</si>
  <si>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</si>
  <si>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</si>
  <si>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</si>
  <si>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</si>
  <si>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</si>
  <si>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</si>
  <si>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</si>
  <si>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</si>
  <si>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</si>
  <si>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</si>
  <si>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</si>
  <si>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</si>
  <si>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</si>
  <si>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</si>
  <si>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</si>
  <si>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</si>
  <si>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</si>
  <si>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</si>
  <si>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</si>
  <si>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</si>
  <si>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</si>
  <si>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</si>
  <si>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</si>
  <si>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</si>
  <si>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</si>
  <si>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</si>
  <si>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</si>
  <si>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</si>
  <si>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</si>
  <si>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</si>
  <si>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</si>
  <si>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</si>
  <si>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</si>
  <si>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</si>
  <si>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</si>
  <si>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</si>
  <si>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</si>
  <si>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</si>
  <si>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</si>
  <si>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</si>
  <si>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</si>
  <si>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</si>
  <si>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</si>
  <si>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</si>
  <si>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</si>
  <si>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</si>
  <si>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</si>
  <si>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</si>
  <si>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</si>
  <si>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</si>
  <si>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</si>
  <si>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</si>
  <si>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</si>
  <si>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</si>
  <si>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</si>
  <si>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</si>
  <si>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</si>
  <si>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</si>
  <si>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</si>
  <si>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</si>
  <si>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</si>
  <si>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</si>
  <si>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</si>
  <si>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</si>
  <si>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</si>
  <si>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</si>
  <si>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</si>
  <si>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</si>
  <si>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</si>
  <si>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</si>
  <si>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</si>
  <si>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</si>
  <si>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</si>
  <si>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</si>
  <si>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</si>
  <si>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</si>
  <si>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</si>
  <si>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</si>
  <si>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</si>
  <si>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</si>
  <si>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</si>
  <si>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</si>
  <si>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</si>
  <si>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</si>
  <si>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</si>
  <si>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</si>
  <si>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</si>
  <si>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</si>
  <si>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</si>
  <si>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</si>
  <si>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</si>
  <si>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</si>
  <si>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</si>
  <si>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</si>
  <si>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</si>
  <si>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</si>
  <si>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</si>
  <si>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</si>
  <si>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</si>
  <si>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</si>
  <si>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</si>
  <si>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</si>
  <si>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</si>
  <si>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</si>
  <si>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</si>
  <si>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</si>
  <si>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</si>
  <si>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</si>
  <si>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</si>
  <si>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</si>
  <si>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</si>
  <si>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</si>
  <si>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</si>
  <si>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</si>
  <si>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</si>
  <si>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</si>
  <si>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</si>
  <si>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</si>
  <si>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</si>
  <si>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</si>
  <si>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</si>
  <si>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</si>
  <si>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</si>
  <si>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</si>
  <si>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</si>
  <si>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</si>
  <si>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</si>
  <si>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</si>
  <si>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</si>
  <si>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</si>
  <si>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</si>
  <si>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</si>
  <si>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</si>
  <si>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</si>
  <si>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</si>
  <si>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</si>
  <si>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</si>
  <si>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</si>
  <si>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</si>
  <si>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</si>
  <si>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</si>
  <si>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</si>
  <si>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</si>
  <si>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</si>
  <si>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</si>
  <si>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</si>
  <si>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</si>
  <si>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</si>
  <si>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</si>
  <si>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</si>
  <si>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</si>
  <si>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</si>
  <si>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</si>
  <si>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</si>
  <si>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</si>
  <si>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</si>
  <si>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</si>
  <si>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</si>
  <si>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</si>
  <si>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</si>
  <si>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</si>
  <si>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</si>
  <si>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</si>
  <si>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</si>
  <si>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</si>
  <si>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</si>
  <si>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</si>
  <si>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</si>
  <si>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</si>
  <si>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</si>
  <si>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</si>
  <si>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</si>
  <si>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</si>
  <si>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</si>
  <si>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</si>
  <si>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</si>
  <si>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</si>
  <si>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</si>
  <si>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</si>
  <si>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</si>
  <si>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</si>
  <si>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</si>
  <si>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</si>
  <si>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</si>
  <si>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</si>
  <si>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</si>
  <si>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</si>
  <si>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</si>
  <si>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</si>
  <si>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</si>
  <si>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</si>
  <si>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</si>
  <si>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</si>
  <si>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</si>
  <si>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</si>
  <si>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</si>
  <si>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</si>
  <si>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</si>
  <si>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</si>
  <si>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</si>
  <si>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</si>
  <si>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</si>
  <si>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</si>
  <si>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</si>
  <si>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</si>
  <si>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</si>
  <si>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</si>
  <si>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</si>
  <si>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</si>
  <si>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</si>
  <si>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</si>
  <si>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</si>
  <si>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</si>
  <si>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</si>
  <si>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</si>
  <si>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</si>
  <si>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</si>
  <si>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</si>
  <si>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</si>
  <si>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</si>
  <si>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</si>
  <si>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</si>
  <si>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</si>
  <si>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</si>
  <si>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</si>
  <si>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</si>
  <si>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</si>
  <si>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</si>
  <si>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</si>
  <si>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</si>
  <si>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</si>
  <si>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</si>
  <si>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</si>
  <si>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</si>
  <si>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</si>
  <si>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</si>
  <si>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</si>
  <si>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</si>
  <si>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</si>
  <si>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</si>
  <si>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</si>
  <si>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</si>
  <si>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</si>
  <si>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</si>
  <si>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</si>
  <si>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</si>
  <si>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</si>
  <si>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</si>
  <si>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</si>
  <si>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</si>
  <si>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</si>
  <si>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</si>
  <si>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</si>
  <si>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</si>
  <si>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</si>
  <si>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</si>
  <si>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</si>
  <si>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</si>
  <si>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</si>
  <si>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</si>
  <si>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</si>
  <si>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</si>
  <si>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</si>
  <si>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</si>
  <si>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</si>
  <si>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</si>
  <si>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</si>
  <si>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</si>
  <si>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</si>
  <si>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</si>
  <si>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</si>
  <si>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</si>
  <si>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</si>
  <si>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</si>
  <si>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</si>
  <si>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</si>
  <si>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</si>
  <si>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</si>
  <si>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</si>
  <si>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</si>
  <si>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</si>
  <si>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</si>
  <si>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</si>
  <si>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</si>
  <si>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</si>
  <si>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</si>
  <si>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</si>
  <si>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</si>
  <si>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</si>
  <si>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</si>
  <si>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</si>
  <si>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</si>
  <si>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</si>
  <si>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</si>
  <si>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</si>
  <si>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</si>
  <si>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</si>
  <si>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</si>
  <si>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</si>
  <si>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</si>
  <si>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</si>
  <si>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</si>
  <si>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</si>
  <si>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</si>
  <si>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</si>
  <si>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</si>
  <si>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</si>
  <si>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</si>
  <si>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</si>
  <si>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</si>
  <si>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</si>
  <si>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</si>
  <si>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</si>
  <si>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</si>
  <si>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</si>
  <si>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</si>
  <si>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</si>
  <si>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</si>
  <si>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</si>
  <si>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</si>
  <si>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</si>
  <si>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</si>
  <si>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</si>
  <si>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</si>
  <si>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</si>
  <si>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</si>
  <si>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</si>
  <si>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</si>
  <si>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</si>
  <si>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</si>
  <si>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</si>
  <si>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</si>
  <si>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</si>
  <si>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</si>
  <si>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</si>
  <si>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</si>
  <si>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</si>
  <si>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</si>
  <si>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</si>
  <si>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</si>
  <si>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</si>
  <si>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</si>
  <si>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</si>
  <si>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</si>
  <si>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</si>
  <si>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</si>
  <si>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</si>
  <si>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</si>
  <si>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</si>
  <si>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</si>
  <si>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</si>
  <si>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</si>
  <si>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</si>
  <si>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</si>
  <si>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</si>
  <si>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</si>
  <si>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</si>
  <si>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</si>
  <si>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</si>
  <si>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</si>
  <si>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</si>
  <si>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</si>
  <si>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</si>
  <si>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</si>
  <si>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</si>
  <si>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</si>
  <si>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</si>
  <si>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</si>
  <si>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</si>
  <si>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</si>
  <si>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</si>
  <si>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</si>
  <si>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</si>
  <si>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</si>
  <si>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</si>
  <si>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</si>
  <si>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</si>
  <si>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</si>
  <si>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</si>
  <si>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</si>
  <si>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</si>
  <si>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</si>
  <si>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</si>
  <si>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</si>
  <si>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</si>
  <si>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</si>
  <si>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</si>
  <si>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</si>
  <si>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</si>
  <si>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</si>
  <si>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</si>
  <si>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</si>
  <si>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</si>
  <si>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</si>
  <si>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</si>
  <si>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</si>
  <si>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</si>
  <si>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</si>
  <si>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</si>
  <si>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</si>
  <si>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</si>
  <si>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</si>
  <si>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</si>
  <si>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</si>
  <si>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</si>
  <si>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</si>
  <si>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</si>
  <si>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</si>
  <si>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</si>
  <si>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</si>
  <si>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</si>
  <si>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</si>
  <si>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</si>
  <si>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</si>
  <si>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</si>
  <si>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</si>
  <si>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</si>
  <si>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</si>
  <si>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</si>
  <si>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</si>
  <si>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</si>
  <si>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</si>
  <si>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</si>
  <si>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</si>
  <si>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</si>
  <si>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</si>
  <si>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</si>
  <si>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</si>
  <si>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</si>
  <si>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</si>
  <si>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</si>
  <si>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</si>
  <si>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</si>
  <si>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</si>
  <si>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</si>
  <si>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</si>
  <si>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</si>
  <si>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</si>
  <si>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</si>
  <si>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</si>
  <si>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</si>
  <si>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</si>
  <si>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</si>
  <si>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</si>
  <si>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</si>
  <si>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</si>
  <si>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</si>
  <si>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</si>
  <si>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</si>
  <si>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</si>
  <si>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</si>
  <si>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</si>
  <si>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</si>
  <si>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</si>
  <si>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</si>
  <si>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</si>
  <si>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</si>
  <si>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</si>
  <si>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</si>
  <si>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</si>
  <si>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</si>
  <si>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</si>
  <si>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</si>
  <si>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</si>
  <si>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</si>
  <si>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</si>
  <si>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</si>
  <si>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</si>
  <si>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</si>
  <si>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</si>
  <si>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</si>
  <si>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</si>
  <si>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</si>
  <si>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</si>
  <si>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</si>
  <si>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</si>
  <si>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</si>
  <si>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</si>
  <si>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</si>
  <si>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</si>
  <si>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</si>
  <si>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</si>
  <si>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</si>
  <si>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</si>
  <si>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</si>
  <si>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</si>
  <si>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</si>
  <si>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</si>
  <si>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</si>
  <si>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</si>
  <si>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</si>
  <si>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</si>
  <si>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</si>
  <si>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</si>
  <si>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</si>
  <si>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</si>
  <si>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</si>
  <si>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</si>
  <si>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</si>
  <si>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</si>
  <si>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</si>
  <si>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</si>
  <si>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</si>
  <si>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</si>
  <si>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</si>
  <si>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</si>
  <si>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</si>
  <si>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</si>
  <si>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</si>
  <si>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</si>
  <si>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</si>
  <si>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</si>
  <si>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</si>
  <si>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</si>
  <si>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</si>
  <si>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</si>
  <si>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</si>
  <si>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</si>
  <si>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</si>
  <si>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</si>
  <si>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</si>
  <si>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</si>
  <si>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</si>
  <si>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</si>
  <si>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</si>
  <si>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</si>
  <si>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</si>
  <si>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</si>
  <si>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</si>
  <si>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</si>
  <si>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</si>
  <si>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</si>
  <si>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</si>
  <si>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</si>
  <si>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</si>
  <si>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</si>
  <si>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</si>
  <si>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</si>
  <si>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</si>
  <si>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</si>
  <si>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</si>
  <si>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</si>
  <si>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</si>
  <si>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</si>
  <si>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</si>
  <si>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</si>
  <si>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</si>
  <si>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</si>
  <si>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</si>
  <si>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</si>
  <si>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</si>
  <si>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</si>
  <si>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</si>
  <si>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</si>
  <si>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</si>
  <si>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</si>
  <si>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</si>
  <si>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</si>
  <si>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</si>
  <si>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</si>
  <si>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</si>
  <si>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</si>
  <si>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</si>
  <si>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</si>
  <si>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</si>
  <si>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</si>
  <si>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</si>
  <si>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</si>
  <si>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</si>
  <si>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</si>
  <si>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</si>
  <si>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</si>
  <si>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</si>
  <si>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</si>
  <si>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</si>
  <si>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</si>
  <si>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</si>
  <si>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</si>
  <si>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</si>
  <si>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</si>
  <si>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</si>
  <si>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</si>
  <si>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</si>
  <si>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</si>
  <si>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</si>
  <si>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</si>
  <si>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</si>
  <si>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</si>
  <si>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</si>
  <si>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</si>
  <si>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</si>
  <si>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</si>
  <si>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</si>
  <si>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</si>
  <si>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</si>
  <si>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</si>
  <si>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</si>
  <si>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</si>
  <si>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</si>
  <si>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</si>
  <si>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</si>
  <si>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</si>
  <si>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</si>
  <si>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</si>
  <si>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</si>
  <si>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</si>
  <si>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</si>
  <si>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</si>
  <si>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</si>
  <si>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</si>
  <si>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</si>
  <si>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</si>
  <si>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</si>
  <si>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</si>
  <si>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</si>
  <si>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</si>
  <si>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</si>
  <si>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</si>
  <si>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</si>
  <si>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</si>
  <si>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</si>
  <si>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</si>
  <si>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</si>
  <si>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</si>
  <si>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</si>
  <si>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</si>
  <si>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</si>
  <si>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</si>
  <si>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</si>
  <si>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</si>
  <si>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</si>
  <si>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</si>
  <si>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</si>
  <si>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</si>
  <si>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</si>
  <si>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</si>
  <si>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</si>
  <si>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</si>
  <si>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</si>
  <si>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</si>
  <si>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</si>
  <si>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</si>
  <si>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</si>
  <si>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</si>
  <si>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</si>
  <si>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</si>
  <si>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</si>
  <si>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</si>
  <si>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</si>
  <si>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</si>
  <si>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</si>
  <si>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</si>
  <si>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</si>
  <si>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</si>
  <si>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</si>
  <si>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</si>
  <si>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</si>
  <si>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</si>
  <si>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</si>
  <si>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</si>
  <si>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</si>
  <si>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</si>
  <si>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</si>
  <si>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</si>
  <si>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</si>
  <si>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</si>
  <si>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</si>
  <si>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</si>
  <si>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</si>
  <si>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</si>
  <si>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</si>
  <si>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</si>
  <si>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</si>
  <si>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</si>
  <si>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</si>
  <si>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</si>
  <si>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</si>
  <si>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</si>
  <si>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</si>
  <si>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</si>
  <si>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</si>
  <si>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</si>
  <si>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</si>
  <si>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</si>
  <si>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</si>
  <si>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</si>
  <si>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</si>
  <si>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</si>
  <si>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</si>
  <si>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</si>
  <si>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</si>
  <si>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</si>
  <si>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</si>
  <si>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</si>
  <si>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</si>
  <si>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</si>
  <si>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</si>
  <si>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</si>
  <si>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</si>
  <si>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</si>
  <si>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</si>
  <si>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</si>
  <si>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</si>
  <si>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</si>
  <si>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</si>
  <si>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</si>
  <si>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</si>
  <si>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</si>
  <si>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</si>
  <si>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</si>
  <si>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</si>
  <si>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</si>
  <si>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</si>
  <si>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</si>
  <si>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</si>
  <si>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</si>
  <si>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</si>
  <si>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</si>
  <si>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</si>
  <si>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</si>
  <si>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</si>
  <si>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</si>
  <si>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</si>
  <si>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</si>
  <si>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</si>
  <si>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</si>
  <si>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</si>
  <si>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</si>
  <si>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</si>
  <si>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</si>
  <si>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</si>
  <si>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</si>
  <si>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</si>
  <si>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</si>
  <si>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</si>
  <si>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</si>
  <si>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</si>
  <si>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</si>
  <si>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</si>
  <si>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</si>
  <si>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</si>
  <si>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</si>
  <si>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</si>
  <si>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</si>
  <si>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</si>
  <si>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</si>
  <si>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</si>
  <si>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</si>
  <si>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</si>
  <si>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</si>
  <si>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</si>
  <si>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</si>
  <si>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</si>
  <si>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</si>
  <si>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</si>
  <si>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</si>
  <si>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</si>
  <si>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</si>
  <si>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</si>
  <si>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</si>
  <si>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</si>
  <si>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</si>
  <si>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</si>
  <si>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</si>
  <si>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</si>
  <si>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</si>
  <si>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</si>
  <si>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</si>
  <si>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</si>
  <si>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</si>
  <si>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</si>
  <si>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</si>
  <si>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</si>
  <si>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</si>
  <si>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</si>
  <si>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</si>
  <si>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</si>
  <si>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</si>
  <si>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</si>
  <si>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</si>
  <si>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</si>
  <si>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</si>
  <si>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</si>
  <si>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</si>
  <si>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</si>
  <si>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</si>
  <si>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</si>
  <si>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</si>
  <si>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</si>
  <si>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</si>
  <si>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</si>
  <si>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</si>
  <si>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</si>
  <si>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</si>
  <si>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</si>
  <si>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</si>
  <si>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</si>
  <si>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</si>
  <si>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</si>
  <si>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</si>
  <si>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</si>
  <si>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</si>
  <si>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</si>
  <si>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</si>
  <si>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</si>
  <si>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</si>
  <si>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</si>
  <si>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</si>
  <si>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</si>
  <si>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</si>
  <si>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</si>
  <si>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</si>
  <si>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</si>
  <si>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</si>
  <si>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</si>
  <si>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</si>
  <si>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</si>
  <si>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</si>
  <si>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</si>
  <si>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</si>
  <si>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</si>
  <si>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</si>
  <si>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</si>
  <si>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</si>
  <si>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</si>
  <si>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</si>
  <si>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</si>
  <si>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</si>
  <si>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</si>
  <si>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</si>
  <si>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</si>
  <si>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</si>
  <si>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</si>
  <si>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</si>
  <si>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</si>
  <si>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</si>
  <si>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</si>
  <si>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</si>
  <si>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</si>
  <si>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</si>
  <si>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</si>
  <si>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</si>
  <si>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</si>
  <si>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</si>
  <si>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</si>
  <si>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</si>
  <si>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</si>
  <si>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</si>
  <si>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</si>
  <si>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</si>
  <si>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</si>
  <si>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</si>
  <si>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</si>
  <si>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</si>
  <si>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</si>
  <si>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</si>
  <si>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</si>
  <si>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</si>
  <si>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</si>
  <si>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</si>
  <si>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</si>
  <si>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</si>
  <si>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</si>
  <si>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</si>
  <si>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</si>
  <si>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</si>
  <si>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</si>
  <si>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</si>
  <si>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</si>
  <si>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</si>
  <si>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</si>
  <si>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</si>
  <si>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</si>
  <si>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</si>
  <si>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</si>
  <si>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</si>
  <si>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</si>
  <si>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</si>
  <si>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</si>
  <si>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</si>
  <si>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</si>
  <si>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</si>
  <si>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</si>
  <si>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</si>
  <si>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</si>
  <si>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</si>
  <si>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</si>
  <si>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</si>
  <si>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</si>
  <si>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</si>
  <si>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</si>
  <si>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</si>
  <si>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</si>
  <si>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</si>
  <si>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</si>
  <si>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</si>
  <si>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</si>
  <si>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</si>
  <si>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</si>
  <si>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</si>
  <si>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</si>
  <si>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</si>
  <si>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</si>
  <si>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</si>
  <si>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</si>
  <si>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</si>
  <si>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</si>
  <si>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</si>
  <si>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</si>
  <si>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</si>
  <si>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</si>
  <si>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</si>
  <si>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</si>
  <si>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</si>
  <si>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</si>
  <si>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</si>
  <si>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</si>
  <si>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</si>
  <si>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</si>
  <si>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</si>
  <si>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</si>
  <si>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</si>
  <si>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</si>
  <si>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</si>
  <si>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</si>
  <si>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</si>
  <si>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</si>
  <si>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</si>
  <si>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</si>
  <si>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</si>
  <si>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</si>
  <si>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</si>
  <si>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</si>
  <si>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</si>
  <si>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</si>
  <si>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</si>
  <si>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</si>
  <si>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</si>
  <si>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</si>
  <si>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</si>
  <si>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</si>
  <si>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</si>
  <si>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</si>
  <si>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</si>
  <si>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</si>
  <si>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</si>
  <si>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</si>
  <si>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</si>
  <si>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</si>
  <si>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</si>
  <si>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</si>
  <si>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</si>
  <si>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</si>
  <si>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</si>
  <si>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</si>
  <si>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</si>
  <si>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</si>
  <si>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</si>
  <si>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</si>
  <si>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</si>
  <si>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</si>
  <si>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</si>
  <si>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</si>
  <si>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</si>
  <si>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</si>
  <si>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</si>
  <si>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</si>
  <si>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</si>
  <si>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</si>
  <si>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</si>
  <si>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</si>
  <si>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</si>
  <si>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</si>
  <si>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</si>
  <si>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</si>
  <si>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</si>
  <si>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</si>
  <si>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</si>
  <si>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</si>
  <si>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</si>
  <si>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</si>
  <si>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</si>
  <si>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</si>
  <si>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</si>
  <si>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</si>
  <si>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</si>
  <si>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</si>
  <si>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</si>
  <si>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</si>
  <si>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</si>
  <si>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</si>
  <si>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</si>
  <si>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</si>
  <si>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</si>
  <si>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</si>
  <si>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</si>
  <si>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</si>
  <si>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</si>
  <si>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</si>
  <si>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</si>
  <si>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</si>
  <si>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</si>
  <si>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</si>
  <si>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</si>
  <si>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</si>
  <si>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</si>
  <si>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</si>
  <si>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</si>
  <si>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</si>
  <si>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</si>
  <si>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</si>
  <si>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</si>
  <si>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</si>
  <si>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</si>
  <si>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</si>
  <si>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</si>
  <si>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</si>
  <si>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</si>
  <si>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</si>
  <si>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</si>
  <si>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</si>
  <si>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</si>
  <si>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</si>
  <si>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</si>
  <si>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</si>
  <si>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</si>
  <si>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</si>
  <si>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</si>
  <si>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</si>
  <si>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</si>
  <si>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</si>
  <si>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</si>
  <si>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</si>
  <si>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</si>
  <si>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</si>
  <si>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</si>
  <si>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</si>
  <si>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</si>
  <si>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</si>
  <si>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</si>
  <si>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</si>
  <si>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</si>
  <si>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</si>
  <si>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</si>
  <si>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</si>
  <si>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</si>
  <si>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</si>
  <si>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</si>
  <si>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</si>
  <si>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</si>
  <si>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</si>
  <si>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</si>
  <si>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</si>
  <si>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</si>
  <si>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</si>
  <si>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</si>
  <si>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</si>
  <si>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</si>
  <si>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</si>
  <si>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</si>
  <si>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</si>
  <si>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</si>
  <si>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</si>
  <si>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</si>
  <si>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</si>
  <si>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</si>
  <si>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</si>
  <si>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</si>
  <si>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</si>
  <si>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</si>
  <si>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</si>
  <si>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</si>
  <si>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</si>
  <si>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</si>
  <si>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</si>
  <si>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</si>
  <si>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</si>
  <si>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</si>
  <si>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</si>
  <si>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</si>
  <si>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</si>
  <si>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</si>
  <si>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</si>
  <si>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</si>
  <si>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</si>
  <si>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</si>
  <si>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</si>
  <si>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</si>
  <si>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</si>
  <si>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</si>
  <si>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</si>
  <si>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</si>
  <si>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</si>
  <si>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</si>
  <si>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</si>
  <si>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</si>
  <si>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</si>
  <si>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</si>
  <si>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</si>
  <si>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</si>
  <si>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</si>
  <si>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</si>
  <si>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</si>
  <si>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</si>
  <si>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</si>
  <si>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</si>
  <si>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</si>
  <si>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</si>
  <si>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</si>
  <si>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</si>
  <si>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</si>
  <si>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</si>
  <si>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</si>
  <si>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</si>
  <si>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</si>
  <si>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</si>
  <si>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</si>
  <si>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</si>
  <si>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</si>
  <si>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</si>
  <si>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</si>
  <si>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</si>
  <si>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</si>
  <si>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</si>
  <si>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</si>
  <si>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</si>
  <si>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</si>
  <si>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</si>
  <si>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</si>
  <si>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</si>
  <si>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</si>
  <si>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</si>
  <si>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</si>
  <si>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</si>
  <si>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</si>
  <si>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</si>
  <si>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</si>
  <si>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</si>
  <si>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</si>
  <si>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</si>
  <si>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</si>
  <si>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</si>
  <si>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</si>
  <si>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</si>
  <si>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</si>
  <si>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</si>
  <si>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</si>
  <si>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</si>
  <si>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</si>
  <si>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</si>
  <si>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</si>
  <si>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</si>
  <si>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</si>
  <si>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</si>
  <si>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</si>
  <si>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</si>
  <si>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</si>
  <si>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</si>
  <si>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</si>
  <si>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</si>
  <si>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</si>
  <si>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</si>
  <si>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</si>
  <si>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</si>
  <si>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</si>
  <si>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</si>
  <si>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</si>
  <si>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</si>
  <si>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</si>
  <si>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</si>
  <si>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</si>
  <si>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</si>
  <si>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</si>
  <si>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</si>
  <si>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</si>
  <si>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</si>
  <si>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</si>
  <si>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</si>
  <si>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</si>
  <si>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</si>
  <si>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</si>
  <si>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</si>
  <si>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</si>
  <si>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</si>
  <si>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</si>
  <si>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</si>
  <si>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</si>
  <si>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</si>
  <si>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</si>
  <si>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</si>
  <si>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</si>
  <si>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</si>
  <si>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</si>
  <si>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</si>
  <si>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</si>
  <si>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</si>
  <si>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</si>
  <si>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</si>
  <si>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</si>
  <si>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</si>
  <si>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</si>
  <si>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</si>
  <si>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</si>
  <si>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</si>
  <si>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</si>
  <si>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</si>
  <si>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</si>
  <si>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</si>
  <si>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</si>
  <si>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</si>
  <si>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</si>
  <si>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</si>
  <si>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</si>
  <si>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</si>
  <si>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</si>
  <si>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</si>
  <si>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</si>
  <si>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</si>
  <si>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</si>
  <si>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</si>
  <si>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</si>
  <si>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</si>
  <si>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</si>
  <si>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</si>
  <si>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</si>
  <si>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</si>
  <si>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</si>
  <si>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</si>
  <si>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</si>
  <si>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</si>
  <si>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</si>
  <si>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</si>
  <si>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</si>
  <si>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</si>
  <si>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</si>
  <si>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</si>
  <si>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</si>
  <si>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</si>
  <si>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</si>
  <si>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</si>
  <si>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</si>
  <si>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</si>
  <si>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</si>
  <si>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</si>
  <si>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</si>
  <si>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</si>
  <si>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</si>
  <si>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</si>
  <si>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</si>
  <si>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</si>
  <si>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</si>
  <si>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</si>
  <si>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</si>
  <si>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</si>
  <si>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</si>
  <si>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</si>
  <si>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</si>
  <si>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</si>
  <si>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</si>
  <si>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</si>
  <si>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</si>
  <si>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</si>
  <si>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</si>
  <si>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</si>
  <si>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</si>
  <si>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</si>
  <si>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</si>
  <si>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</si>
  <si>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</si>
  <si>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</si>
  <si>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</si>
  <si>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</si>
  <si>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</si>
  <si>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</si>
  <si>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</si>
  <si>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</si>
  <si>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</si>
  <si>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</si>
  <si>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</si>
  <si>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</si>
  <si>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</si>
  <si>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</si>
  <si>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</si>
  <si>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</si>
  <si>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</si>
  <si>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</si>
  <si>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</si>
  <si>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</si>
  <si>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</si>
  <si>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</si>
  <si>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</si>
  <si>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</si>
  <si>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</si>
  <si>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</si>
  <si>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</si>
  <si>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</si>
  <si>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</si>
  <si>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</si>
  <si>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</si>
  <si>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</si>
  <si>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</si>
  <si>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</si>
  <si>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</si>
  <si>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</si>
  <si>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</si>
  <si>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</si>
  <si>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</si>
  <si>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</si>
  <si>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</si>
  <si>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</si>
  <si>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</si>
  <si>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</si>
  <si>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</si>
  <si>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</si>
  <si>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</si>
  <si>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</si>
  <si>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</si>
  <si>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</si>
  <si>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</si>
  <si>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</si>
  <si>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</si>
  <si>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</si>
  <si>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</si>
  <si>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</si>
  <si>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</si>
  <si>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</si>
  <si>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</si>
  <si>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</si>
  <si>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</si>
  <si>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</si>
  <si>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</si>
  <si>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</si>
  <si>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</si>
  <si>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</si>
  <si>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</si>
  <si>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</si>
  <si>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</si>
  <si>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</si>
  <si>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</si>
  <si>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</si>
  <si>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</si>
  <si>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</si>
  <si>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</si>
  <si>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</si>
  <si>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</si>
  <si>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</si>
  <si>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</si>
  <si>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</si>
  <si>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</si>
  <si>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</si>
  <si>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</si>
  <si>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</si>
  <si>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</si>
  <si>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</si>
  <si>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</si>
  <si>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</si>
  <si>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</si>
  <si>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</si>
  <si>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</si>
  <si>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</si>
  <si>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</si>
  <si>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</si>
  <si>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</si>
  <si>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</si>
  <si>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</si>
  <si>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</si>
  <si>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</si>
  <si>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</si>
  <si>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</si>
  <si>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</si>
  <si>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</si>
  <si>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</si>
  <si>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</si>
  <si>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</si>
  <si>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</si>
  <si>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</si>
  <si>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</si>
  <si>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</si>
  <si>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</si>
  <si>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</si>
  <si>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</si>
  <si>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</si>
  <si>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</si>
  <si>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</si>
  <si>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</si>
  <si>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</si>
  <si>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</si>
  <si>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</si>
  <si>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</si>
  <si>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</si>
  <si>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</si>
  <si>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</si>
  <si>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</si>
  <si>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</si>
  <si>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</si>
  <si>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</si>
  <si>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</si>
  <si>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</si>
  <si>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</si>
  <si>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</si>
  <si>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</si>
  <si>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</si>
  <si>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</si>
  <si>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</si>
  <si>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</si>
  <si>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</si>
  <si>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</si>
  <si>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</si>
  <si>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</si>
  <si>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</si>
  <si>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</si>
  <si>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</si>
  <si>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</si>
  <si>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</si>
  <si>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</si>
  <si>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</si>
  <si>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</si>
  <si>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</si>
  <si>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</si>
  <si>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</si>
  <si>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</si>
  <si>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</si>
  <si>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</si>
  <si>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</si>
  <si>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</si>
  <si>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</si>
  <si>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</si>
  <si>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</si>
  <si>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</si>
  <si>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</si>
  <si>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</si>
  <si>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</si>
  <si>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</si>
  <si>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</si>
  <si>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</si>
  <si>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</si>
  <si>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</si>
  <si>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</si>
  <si>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</si>
  <si>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</si>
  <si>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</si>
  <si>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</si>
  <si>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</si>
  <si>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</si>
  <si>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</si>
  <si>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</si>
  <si>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</si>
  <si>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</si>
  <si>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</si>
  <si>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</si>
  <si>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</si>
  <si>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</si>
  <si>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</si>
  <si>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</si>
  <si>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</si>
  <si>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</si>
  <si>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</si>
  <si>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</si>
  <si>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</si>
  <si>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</si>
  <si>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</si>
  <si>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</si>
  <si>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</si>
  <si>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</si>
  <si>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</si>
  <si>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</si>
  <si>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</si>
  <si>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</si>
  <si>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</si>
  <si>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</si>
  <si>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</si>
  <si>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</si>
  <si>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</si>
  <si>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</si>
  <si>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</si>
  <si>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</si>
  <si>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</si>
  <si>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</si>
  <si>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</si>
  <si>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</si>
  <si>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</si>
  <si>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</si>
  <si>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</si>
  <si>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</si>
  <si>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</si>
  <si>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</si>
  <si>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</si>
  <si>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</si>
  <si>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</si>
  <si>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</si>
  <si>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</si>
  <si>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</si>
  <si>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</si>
  <si>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</si>
  <si>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</si>
  <si>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</si>
  <si>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</si>
  <si>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</si>
  <si>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</si>
  <si>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</si>
  <si>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</si>
  <si>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</si>
  <si>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</si>
  <si>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</si>
  <si>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</si>
  <si>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</si>
  <si>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</si>
  <si>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</si>
  <si>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</si>
  <si>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</si>
  <si>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</si>
  <si>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</si>
  <si>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</si>
  <si>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</si>
  <si>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</si>
  <si>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</si>
  <si>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</si>
  <si>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</si>
  <si>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</si>
  <si>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</si>
  <si>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</si>
  <si>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</si>
  <si>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</si>
  <si>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</si>
  <si>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</si>
  <si>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</si>
  <si>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</si>
  <si>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</si>
  <si>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</si>
  <si>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</si>
  <si>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</si>
  <si>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</si>
  <si>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</si>
  <si>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</si>
  <si>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</si>
  <si>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</si>
  <si>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</si>
  <si>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</si>
  <si>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</si>
  <si>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</si>
  <si>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</si>
  <si>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</si>
  <si>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</si>
  <si>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</si>
  <si>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</si>
  <si>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</si>
  <si>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</si>
  <si>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</si>
  <si>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</si>
  <si>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</si>
  <si>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</si>
  <si>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</si>
  <si>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</si>
  <si>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</si>
  <si>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</si>
  <si>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</si>
  <si>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</si>
  <si>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</si>
  <si>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</si>
  <si>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</si>
  <si>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</si>
  <si>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</si>
  <si>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</si>
  <si>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</si>
  <si>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</si>
  <si>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</si>
  <si>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</si>
  <si>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</si>
  <si>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</si>
  <si>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</si>
  <si>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</si>
  <si>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</si>
  <si>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</si>
  <si>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</si>
  <si>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</si>
  <si>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</si>
  <si>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</si>
  <si>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</si>
  <si>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</si>
  <si>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</si>
  <si>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</si>
  <si>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</si>
  <si>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</si>
  <si>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</si>
  <si>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</si>
  <si>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</si>
  <si>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</si>
  <si>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</si>
  <si>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</si>
  <si>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</si>
  <si>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</si>
  <si>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</si>
  <si>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</si>
  <si>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</si>
  <si>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</si>
  <si>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</si>
  <si>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</si>
  <si>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</si>
  <si>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</si>
  <si>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</si>
  <si>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</si>
  <si>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</si>
  <si>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</si>
  <si>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</si>
  <si>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</si>
  <si>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</si>
  <si>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</si>
  <si>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</si>
  <si>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</si>
  <si>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</si>
  <si>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</si>
  <si>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</si>
  <si>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</si>
  <si>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</si>
  <si>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</si>
  <si>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</si>
  <si>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</si>
  <si>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</si>
  <si>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</si>
  <si>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</si>
  <si>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</si>
  <si>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</si>
  <si>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</si>
  <si>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</si>
  <si>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</si>
  <si>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</si>
  <si>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</si>
  <si>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</si>
  <si>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</si>
  <si>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</si>
  <si>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</si>
  <si>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</si>
  <si>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</si>
  <si>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</si>
  <si>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</si>
  <si>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</si>
  <si>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</si>
  <si>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</si>
  <si>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</si>
  <si>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</si>
  <si>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</si>
  <si>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</si>
  <si>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</si>
  <si>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</si>
  <si>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</si>
  <si>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</si>
  <si>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</si>
  <si>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</si>
  <si>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</si>
  <si>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</si>
  <si>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</si>
  <si>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</si>
  <si>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</si>
  <si>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</si>
  <si>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</si>
  <si>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</si>
  <si>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</si>
  <si>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</si>
  <si>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</si>
  <si>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</si>
  <si>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</si>
  <si>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</si>
  <si>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</si>
  <si>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</si>
  <si>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</si>
  <si>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</si>
  <si>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</si>
  <si>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</si>
  <si>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</si>
  <si>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</si>
  <si>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</si>
  <si>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</si>
  <si>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</si>
  <si>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</si>
  <si>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</si>
  <si>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</si>
  <si>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</si>
  <si>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</si>
  <si>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</si>
  <si>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</si>
  <si>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</si>
  <si>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</si>
  <si>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</si>
  <si>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</si>
  <si>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</si>
  <si>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</si>
  <si>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</si>
  <si>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</si>
  <si>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</si>
  <si>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</si>
  <si>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</si>
  <si>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</si>
  <si>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</si>
  <si>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</si>
  <si>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</si>
  <si>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</si>
  <si>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</si>
  <si>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</si>
  <si>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</si>
  <si>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</si>
  <si>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</si>
  <si>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</si>
  <si>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</si>
  <si>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</si>
  <si>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</si>
  <si>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</si>
  <si>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</si>
  <si>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</si>
  <si>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</si>
  <si>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</si>
  <si>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</si>
  <si>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</si>
  <si>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</si>
  <si>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</si>
  <si>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</si>
  <si>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</si>
  <si>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</si>
  <si>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</si>
  <si>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</si>
  <si>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</si>
  <si>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</si>
  <si>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</si>
  <si>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</si>
  <si>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</si>
  <si>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</si>
  <si>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</si>
  <si>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</si>
  <si>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</si>
  <si>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</si>
  <si>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</si>
  <si>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</si>
  <si>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</si>
  <si>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</si>
  <si>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</si>
  <si>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</si>
  <si>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</si>
  <si>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</si>
  <si>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</si>
  <si>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</si>
  <si>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</si>
  <si>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</si>
  <si>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</si>
  <si>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</si>
  <si>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</si>
  <si>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</si>
  <si>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</si>
  <si>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</si>
  <si>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</si>
  <si>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</si>
  <si>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</si>
  <si>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</si>
  <si>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</si>
  <si>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</si>
  <si>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</si>
  <si>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</si>
  <si>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</si>
  <si>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</si>
  <si>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</si>
  <si>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</si>
  <si>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</si>
  <si>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</si>
  <si>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</si>
  <si>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</si>
  <si>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</si>
  <si>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</si>
  <si>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</si>
  <si>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</si>
  <si>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</si>
  <si>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</si>
  <si>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</si>
  <si>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</si>
  <si>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</si>
  <si>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</si>
  <si>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</si>
  <si>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</si>
  <si>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</si>
  <si>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</si>
  <si>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</si>
  <si>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</si>
  <si>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</si>
  <si>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</si>
  <si>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</si>
  <si>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</si>
  <si>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</si>
  <si>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</si>
  <si>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</si>
  <si>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</si>
  <si>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</si>
  <si>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</si>
  <si>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</si>
  <si>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</si>
  <si>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</si>
  <si>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</si>
  <si>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</si>
  <si>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</si>
  <si>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</si>
  <si>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</si>
  <si>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</si>
  <si>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</si>
  <si>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</si>
  <si>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</si>
  <si>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</si>
  <si>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</si>
  <si>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</si>
  <si>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</si>
  <si>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</si>
  <si>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</si>
  <si>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</si>
  <si>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</si>
  <si>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</si>
  <si>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</si>
  <si>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</si>
  <si>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</si>
  <si>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</si>
  <si>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</si>
  <si>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</si>
  <si>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</si>
  <si>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</si>
  <si>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</si>
  <si>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</si>
  <si>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</si>
  <si>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</si>
  <si>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</si>
  <si>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</si>
  <si>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</si>
  <si>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</si>
  <si>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</si>
  <si>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</si>
  <si>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</si>
  <si>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</si>
  <si>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</si>
  <si>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</si>
  <si>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</si>
  <si>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</si>
  <si>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</si>
  <si>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</si>
  <si>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</si>
  <si>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</si>
  <si>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</si>
  <si>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</si>
  <si>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</si>
  <si>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</si>
  <si>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</si>
  <si>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</si>
  <si>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</si>
  <si>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</si>
  <si>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</si>
  <si>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</si>
  <si>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</si>
  <si>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</si>
  <si>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</si>
  <si>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</si>
  <si>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</si>
  <si>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</si>
  <si>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</si>
  <si>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</si>
  <si>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</si>
  <si>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</si>
  <si>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</si>
  <si>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</si>
  <si>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</si>
  <si>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</si>
  <si>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</si>
  <si>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</si>
  <si>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</si>
  <si>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</si>
  <si>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</si>
  <si>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</si>
  <si>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</si>
  <si>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</si>
  <si>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</si>
  <si>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</si>
  <si>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</si>
  <si>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</si>
  <si>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</si>
  <si>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</si>
  <si>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</si>
  <si>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</si>
  <si>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</si>
  <si>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</si>
  <si>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</si>
  <si>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</si>
  <si>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</si>
  <si>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</si>
  <si>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</si>
  <si>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</si>
  <si>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</si>
  <si>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</si>
  <si>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</si>
  <si>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</si>
  <si>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</si>
  <si>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</si>
  <si>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</si>
  <si>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</si>
  <si>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</si>
  <si>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</si>
  <si>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</si>
  <si>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</si>
  <si>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</si>
  <si>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</si>
  <si>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</si>
  <si>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</si>
  <si>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</si>
  <si>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</si>
  <si>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</si>
  <si>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</si>
  <si>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</si>
  <si>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</si>
  <si>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</si>
  <si>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</si>
  <si>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</si>
  <si>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</si>
  <si>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</si>
  <si>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</si>
  <si>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</si>
  <si>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</si>
  <si>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</si>
  <si>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</si>
  <si>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</si>
  <si>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</si>
  <si>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</si>
  <si>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</si>
  <si>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</si>
  <si>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</si>
  <si>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</si>
  <si>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</si>
  <si>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</si>
  <si>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</si>
  <si>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</si>
  <si>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</si>
  <si>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</si>
  <si>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</si>
  <si>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</si>
  <si>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</si>
  <si>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</si>
  <si>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</si>
  <si>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</si>
  <si>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</si>
  <si>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</si>
  <si>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</si>
  <si>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</si>
  <si>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</si>
  <si>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</si>
  <si>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</si>
  <si>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</si>
  <si>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</si>
  <si>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</si>
  <si>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</si>
  <si>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</si>
  <si>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</si>
  <si>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</si>
  <si>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</si>
  <si>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</si>
  <si>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</si>
  <si>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</si>
  <si>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</si>
  <si>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</si>
  <si>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</si>
  <si>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</si>
  <si>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</si>
  <si>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</si>
  <si>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</si>
  <si>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</si>
  <si>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</si>
  <si>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</si>
  <si>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</si>
  <si>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</si>
  <si>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</si>
  <si>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</si>
  <si>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</si>
  <si>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</si>
  <si>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</si>
  <si>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</si>
  <si>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</si>
  <si>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</si>
  <si>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</si>
  <si>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</si>
  <si>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</si>
  <si>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</si>
  <si>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</si>
  <si>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</si>
  <si>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</si>
  <si>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</si>
  <si>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</si>
  <si>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</si>
  <si>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</si>
  <si>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</si>
  <si>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</si>
  <si>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</si>
  <si>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</si>
  <si>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</si>
  <si>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</si>
  <si>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</si>
  <si>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</si>
  <si>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</si>
  <si>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</si>
  <si>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</si>
  <si>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</si>
  <si>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</si>
  <si>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</si>
  <si>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</si>
  <si>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</si>
  <si>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</si>
  <si>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</si>
  <si>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</si>
  <si>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</si>
  <si>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</si>
  <si>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</si>
  <si>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</si>
  <si>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</si>
  <si>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</si>
  <si>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</si>
  <si>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</si>
  <si>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</si>
  <si>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</si>
  <si>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</si>
  <si>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</si>
  <si>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</si>
  <si>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</si>
  <si>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</si>
  <si>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</si>
  <si>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</si>
  <si>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</si>
  <si>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</si>
  <si>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</si>
  <si>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</si>
  <si>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</si>
  <si>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</si>
  <si>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</si>
  <si>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</si>
  <si>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</si>
  <si>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</si>
  <si>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</si>
  <si>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</si>
  <si>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</si>
  <si>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</si>
  <si>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</si>
  <si>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</si>
  <si>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</si>
  <si>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</si>
  <si>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</si>
  <si>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</si>
  <si>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</si>
  <si>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</si>
  <si>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</si>
  <si>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</si>
  <si>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</si>
  <si>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</si>
  <si>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</si>
  <si>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</si>
  <si>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</si>
  <si>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</si>
  <si>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</si>
  <si>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</si>
  <si>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</si>
  <si>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</si>
  <si>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</si>
  <si>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</si>
  <si>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</si>
  <si>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</si>
  <si>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</si>
  <si>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</si>
  <si>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</si>
  <si>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</si>
  <si>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</si>
  <si>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</si>
  <si>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</si>
  <si>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</si>
  <si>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</si>
  <si>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</si>
  <si>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</si>
  <si>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</si>
  <si>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</si>
  <si>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</si>
  <si>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</si>
  <si>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</si>
  <si>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</si>
  <si>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</si>
  <si>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</si>
  <si>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</si>
  <si>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</si>
  <si>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</si>
  <si>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</si>
  <si>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</si>
  <si>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</si>
  <si>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</si>
  <si>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</si>
  <si>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</si>
  <si>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</si>
  <si>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</si>
  <si>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</si>
  <si>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</si>
  <si>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</si>
  <si>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</si>
  <si>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</si>
  <si>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</si>
  <si>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</si>
  <si>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</si>
  <si>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</si>
  <si>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</si>
  <si>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</si>
  <si>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</si>
  <si>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</si>
  <si>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</si>
  <si>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</si>
  <si>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</si>
  <si>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</si>
  <si>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</si>
  <si>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</si>
  <si>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</si>
  <si>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</si>
  <si>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</si>
  <si>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</si>
  <si>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</si>
  <si>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</si>
  <si>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</si>
  <si>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</si>
  <si>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</si>
  <si>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</si>
  <si>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</si>
  <si>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</si>
  <si>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</si>
  <si>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</si>
  <si>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</si>
  <si>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</si>
  <si>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</si>
  <si>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</si>
  <si>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</si>
  <si>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</si>
  <si>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</si>
  <si>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</si>
  <si>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</si>
  <si>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</si>
  <si>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</si>
  <si>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</si>
  <si>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</si>
  <si>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</si>
  <si>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</si>
  <si>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</si>
  <si>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</si>
  <si>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</si>
  <si>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</si>
  <si>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</si>
  <si>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</si>
  <si>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</si>
  <si>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</si>
  <si>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</si>
  <si>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</si>
  <si>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</si>
  <si>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</si>
  <si>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</si>
  <si>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</si>
  <si>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</si>
  <si>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</si>
  <si>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</si>
  <si>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</si>
  <si>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</si>
  <si>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</si>
  <si>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</si>
  <si>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</si>
  <si>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</si>
  <si>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</si>
  <si>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</si>
  <si>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</si>
  <si>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</si>
  <si>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</si>
  <si>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</si>
  <si>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</si>
  <si>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</si>
  <si>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</si>
  <si>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</si>
  <si>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</si>
  <si>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</si>
  <si>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</si>
  <si>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</si>
  <si>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</si>
  <si>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</si>
  <si>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</si>
  <si>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</si>
  <si>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</si>
  <si>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</si>
  <si>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</si>
  <si>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</si>
  <si>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</si>
  <si>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</si>
  <si>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</si>
  <si>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</si>
  <si>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</si>
  <si>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</si>
  <si>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</si>
  <si>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</si>
  <si>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</si>
  <si>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</si>
  <si>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</si>
  <si>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</si>
  <si>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</si>
  <si>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</si>
  <si>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</si>
  <si>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</si>
  <si>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</si>
  <si>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</si>
  <si>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</si>
  <si>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</si>
  <si>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</si>
  <si>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</si>
  <si>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</si>
  <si>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</si>
  <si>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</si>
  <si>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</si>
  <si>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</si>
  <si>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</si>
  <si>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</si>
  <si>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</si>
  <si>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</si>
  <si>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</si>
  <si>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</si>
  <si>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</si>
  <si>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</si>
  <si>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</si>
  <si>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</si>
  <si>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</si>
  <si>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</si>
  <si>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</si>
  <si>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</si>
  <si>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</si>
  <si>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</si>
  <si>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</si>
  <si>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</si>
  <si>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</si>
  <si>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</si>
  <si>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</si>
  <si>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</si>
  <si>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</si>
  <si>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</si>
  <si>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</si>
  <si>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</si>
  <si>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</si>
  <si>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</si>
  <si>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</si>
  <si>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</si>
  <si>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</si>
  <si>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</si>
  <si>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</si>
  <si>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</si>
  <si>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</si>
  <si>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</si>
  <si>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</si>
  <si>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</si>
  <si>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</si>
  <si>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</si>
  <si>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</si>
  <si>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</si>
  <si>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</si>
  <si>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</si>
  <si>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</si>
  <si>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</si>
  <si>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</si>
  <si>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</si>
  <si>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</si>
  <si>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</si>
  <si>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</si>
  <si>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</si>
  <si>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</si>
  <si>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</si>
  <si>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</si>
  <si>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</si>
  <si>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</si>
  <si>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</si>
  <si>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</si>
  <si>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</si>
  <si>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</si>
  <si>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</si>
  <si>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</si>
  <si>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</si>
  <si>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</si>
  <si>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</si>
  <si>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</si>
  <si>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</si>
  <si>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</si>
  <si>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</si>
  <si>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</si>
  <si>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</si>
  <si>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</si>
  <si>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</si>
  <si>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</si>
  <si>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</si>
  <si>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</si>
  <si>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</si>
  <si>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</si>
  <si>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</si>
  <si>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</si>
  <si>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</si>
  <si>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</si>
  <si>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</si>
  <si>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</si>
  <si>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</si>
  <si>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</si>
  <si>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</si>
  <si>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</si>
  <si>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</si>
  <si>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</si>
  <si>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</si>
  <si>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</si>
  <si>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</si>
  <si>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</si>
  <si>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</si>
  <si>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</si>
  <si>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</si>
  <si>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</si>
  <si>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</si>
  <si>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</si>
  <si>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</si>
  <si>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</si>
  <si>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</si>
  <si>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</si>
  <si>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</si>
  <si>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</si>
  <si>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</si>
  <si>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</si>
  <si>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</si>
  <si>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</si>
  <si>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</si>
  <si>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</si>
  <si>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</si>
  <si>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</si>
  <si>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</si>
  <si>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</si>
  <si>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</si>
  <si>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</si>
  <si>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</si>
  <si>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</si>
  <si>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</si>
  <si>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</si>
  <si>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</si>
  <si>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</si>
  <si>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</si>
  <si>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</si>
  <si>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</si>
  <si>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</si>
  <si>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</si>
  <si>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</si>
  <si>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</si>
  <si>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</si>
  <si>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</si>
  <si>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</si>
  <si>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</si>
  <si>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</si>
  <si>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</si>
  <si>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</si>
  <si>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</si>
  <si>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</si>
  <si>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</si>
  <si>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</si>
  <si>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</si>
  <si>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</si>
  <si>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</si>
  <si>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</si>
  <si>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</si>
  <si>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</si>
  <si>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</si>
  <si>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</si>
  <si>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</si>
  <si>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</si>
  <si>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</si>
  <si>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</si>
  <si>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</si>
  <si>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</si>
  <si>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</si>
  <si>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</si>
  <si>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</si>
  <si>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</si>
  <si>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</si>
  <si>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</si>
  <si>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</si>
  <si>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</si>
  <si>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</si>
  <si>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</si>
  <si>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</si>
  <si>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</si>
  <si>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</si>
  <si>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</si>
  <si>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</si>
  <si>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</si>
  <si>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</si>
  <si>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</si>
  <si>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</si>
  <si>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</si>
  <si>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</si>
  <si>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</si>
  <si>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</si>
  <si>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</si>
  <si>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</si>
  <si>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</si>
  <si>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</si>
  <si>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</si>
  <si>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</si>
  <si>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</si>
  <si>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</si>
  <si>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</si>
  <si>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</si>
  <si>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</si>
  <si>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</si>
  <si>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</si>
  <si>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</si>
  <si>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</si>
  <si>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</si>
  <si>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</si>
  <si>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</si>
  <si>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</si>
  <si>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</si>
  <si>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</si>
  <si>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</si>
  <si>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</si>
  <si>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</si>
  <si>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</si>
  <si>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</si>
  <si>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</si>
  <si>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</si>
  <si>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</si>
  <si>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</si>
  <si>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</si>
  <si>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</si>
  <si>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</si>
  <si>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</si>
  <si>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</si>
  <si>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</si>
  <si>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</si>
  <si>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</si>
  <si>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</si>
  <si>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</si>
  <si>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</si>
  <si>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</si>
  <si>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</si>
  <si>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</si>
  <si>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</si>
  <si>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</si>
  <si>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</si>
  <si>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</si>
  <si>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</si>
  <si>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</si>
  <si>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</si>
  <si>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</si>
  <si>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</si>
  <si>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</si>
  <si>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</si>
  <si>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</si>
  <si>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</si>
  <si>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</si>
  <si>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</si>
  <si>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</si>
  <si>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</si>
  <si>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</si>
  <si>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</si>
  <si>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</si>
  <si>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</si>
  <si>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</si>
  <si>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</si>
  <si>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</si>
  <si>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</si>
  <si>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</si>
  <si>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</si>
  <si>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</si>
  <si>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</si>
  <si>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</si>
  <si>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</si>
  <si>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</si>
  <si>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</si>
  <si>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</si>
  <si>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</si>
  <si>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</si>
  <si>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</si>
  <si>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</si>
  <si>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</si>
  <si>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</si>
  <si>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</si>
  <si>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</si>
  <si>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</si>
  <si>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</si>
  <si>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</si>
  <si>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</si>
  <si>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</si>
  <si>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</si>
  <si>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</si>
  <si>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</si>
  <si>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</si>
  <si>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</si>
  <si>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</si>
  <si>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</si>
  <si>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</si>
  <si>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</si>
  <si>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</si>
  <si>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</si>
  <si>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</si>
  <si>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</si>
  <si>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</si>
  <si>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</si>
  <si>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</si>
  <si>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</si>
  <si>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</si>
  <si>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</si>
  <si>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</si>
  <si>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</si>
  <si>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</si>
  <si>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</si>
  <si>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</si>
  <si>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</si>
  <si>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</si>
  <si>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</si>
  <si>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</si>
  <si>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</si>
  <si>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</si>
  <si>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</si>
  <si>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</si>
  <si>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</si>
  <si>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</si>
  <si>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</si>
  <si>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</si>
  <si>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</si>
  <si>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</si>
  <si>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</si>
  <si>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</si>
  <si>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</si>
  <si>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</si>
  <si>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</si>
  <si>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</si>
  <si>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</si>
  <si>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</si>
  <si>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</si>
  <si>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</si>
  <si>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</si>
  <si>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</si>
  <si>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</si>
  <si>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</si>
  <si>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</si>
  <si>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</si>
  <si>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</si>
  <si>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</si>
  <si>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</si>
  <si>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</si>
  <si>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</si>
  <si>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</si>
  <si>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</si>
  <si>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</si>
  <si>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</si>
  <si>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</si>
  <si>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</si>
  <si>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</si>
  <si>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</si>
  <si>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</si>
  <si>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</si>
  <si>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</si>
  <si>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</si>
  <si>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</si>
  <si>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</si>
  <si>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</si>
  <si>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</si>
  <si>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</si>
  <si>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</si>
  <si>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</si>
  <si>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</si>
  <si>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</si>
  <si>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</si>
  <si>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</si>
  <si>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</si>
  <si>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</si>
  <si>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</si>
  <si>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</si>
  <si>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</si>
  <si>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</si>
  <si>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</si>
  <si>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</si>
  <si>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</si>
  <si>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</si>
  <si>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</si>
  <si>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</si>
  <si>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</si>
  <si>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</si>
  <si>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</si>
  <si>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</si>
  <si>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</si>
  <si>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</si>
  <si>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</si>
  <si>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</si>
  <si>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</si>
  <si>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</si>
  <si>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</si>
  <si>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</si>
  <si>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</si>
  <si>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</si>
  <si>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</si>
  <si>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</si>
  <si>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</si>
  <si>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</si>
  <si>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</si>
  <si>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</si>
  <si>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</si>
  <si>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</si>
  <si>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</si>
  <si>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</si>
  <si>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</si>
  <si>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</si>
  <si>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</si>
  <si>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</si>
  <si>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</si>
  <si>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</si>
  <si>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</si>
  <si>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</si>
  <si>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</si>
  <si>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</si>
  <si>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</si>
  <si>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</si>
  <si>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</si>
  <si>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</si>
  <si>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</si>
  <si>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</si>
  <si>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</si>
  <si>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</si>
  <si>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</si>
  <si>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</si>
  <si>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</si>
  <si>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</si>
  <si>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</si>
  <si>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</si>
  <si>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</si>
  <si>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</si>
  <si>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</si>
  <si>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</si>
  <si>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</si>
  <si>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</si>
  <si>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</si>
  <si>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</si>
  <si>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</si>
  <si>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</si>
  <si>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</si>
  <si>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</si>
  <si>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</si>
  <si>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</si>
  <si>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</si>
  <si>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</si>
  <si>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</si>
  <si>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</si>
  <si>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</si>
  <si>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</si>
  <si>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</si>
  <si>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</si>
  <si>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</si>
  <si>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</si>
  <si>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</si>
  <si>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</si>
  <si>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</si>
  <si>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</si>
  <si>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</si>
  <si>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</si>
  <si>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</si>
  <si>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</si>
  <si>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</si>
  <si>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</si>
  <si>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</si>
  <si>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</si>
  <si>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</si>
  <si>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</si>
  <si>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</si>
  <si>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</si>
  <si>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</si>
  <si>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</si>
  <si>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</si>
  <si>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</si>
  <si>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</si>
  <si>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</si>
  <si>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</si>
  <si>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</si>
  <si>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</si>
  <si>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</si>
  <si>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</si>
  <si>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</si>
  <si>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</si>
  <si>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</si>
  <si>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</si>
  <si>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</si>
  <si>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</si>
  <si>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</si>
  <si>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</si>
  <si>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</si>
  <si>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</si>
  <si>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</si>
  <si>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</si>
  <si>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</si>
  <si>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</si>
  <si>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</si>
  <si>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</si>
  <si>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</si>
  <si>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</si>
  <si>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</si>
  <si>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</si>
  <si>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</si>
  <si>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</si>
  <si>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</si>
  <si>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</si>
  <si>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</si>
  <si>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</si>
  <si>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</si>
  <si>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</si>
  <si>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</si>
  <si>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</si>
  <si>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</si>
  <si>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</si>
  <si>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</si>
  <si>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</si>
  <si>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</si>
  <si>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</si>
  <si>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</si>
  <si>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</si>
  <si>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</si>
  <si>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</si>
  <si>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</si>
  <si>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</si>
  <si>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</si>
  <si>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</si>
  <si>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</si>
  <si>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</si>
  <si>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</si>
  <si>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</si>
  <si>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</si>
  <si>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</si>
  <si>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</si>
  <si>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</si>
  <si>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</si>
  <si>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</si>
  <si>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</si>
  <si>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</si>
  <si>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</si>
  <si>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</si>
  <si>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</si>
  <si>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</si>
  <si>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</si>
  <si>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</si>
  <si>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</si>
  <si>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</si>
  <si>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</si>
  <si>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</si>
  <si>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</si>
  <si>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</si>
  <si>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</si>
  <si>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</si>
  <si>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</si>
  <si>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</si>
  <si>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</si>
  <si>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</si>
  <si>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</si>
  <si>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</si>
  <si>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</si>
  <si>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</si>
  <si>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</si>
  <si>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</si>
  <si>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</si>
  <si>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</si>
  <si>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</si>
  <si>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</si>
  <si>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</si>
  <si>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</si>
  <si>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</si>
  <si>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</si>
  <si>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</si>
  <si>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</si>
  <si>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</si>
  <si>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</si>
  <si>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</si>
  <si>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</si>
  <si>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</si>
  <si>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</si>
  <si>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</si>
  <si>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</si>
  <si>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</si>
  <si>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</si>
  <si>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</si>
  <si>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</si>
  <si>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</si>
  <si>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</si>
  <si>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</si>
  <si>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</si>
  <si>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</si>
  <si>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</si>
  <si>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</si>
  <si>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</si>
  <si>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</si>
  <si>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</si>
  <si>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</si>
  <si>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</si>
  <si>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</si>
  <si>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</si>
  <si>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</si>
  <si>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</si>
  <si>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</si>
  <si>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</si>
  <si>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</si>
  <si>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</si>
  <si>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</si>
  <si>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</si>
  <si>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</si>
  <si>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</si>
  <si>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</si>
  <si>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</si>
  <si>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</si>
  <si>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</si>
  <si>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</si>
  <si>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</si>
  <si>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</si>
  <si>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</si>
  <si>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</si>
  <si>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</si>
  <si>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</si>
  <si>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</si>
  <si>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</si>
  <si>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</si>
  <si>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</si>
  <si>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</si>
  <si>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</si>
  <si>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</si>
  <si>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</si>
  <si>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</si>
  <si>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</si>
  <si>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</si>
  <si>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</si>
  <si>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</si>
  <si>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</si>
  <si>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</si>
  <si>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</si>
  <si>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</si>
  <si>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</si>
  <si>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</si>
  <si>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</si>
  <si>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</si>
  <si>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</si>
  <si>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</si>
  <si>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</si>
  <si>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</si>
  <si>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</si>
  <si>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</si>
  <si>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</si>
  <si>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</si>
  <si>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</si>
  <si>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</si>
  <si>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</si>
  <si>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</si>
  <si>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</si>
  <si>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</si>
  <si>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</si>
  <si>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</si>
  <si>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</si>
  <si>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</si>
  <si>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</si>
  <si>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</si>
  <si>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</si>
  <si>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</si>
  <si>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</si>
  <si>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</si>
  <si>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</si>
  <si>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</si>
  <si>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</si>
  <si>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</si>
  <si>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</si>
  <si>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</si>
  <si>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</si>
  <si>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</si>
  <si>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</si>
  <si>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</si>
  <si>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</si>
  <si>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</si>
  <si>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</si>
  <si>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</si>
  <si>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</si>
  <si>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</si>
  <si>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</si>
  <si>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</si>
  <si>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</si>
  <si>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</si>
  <si>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</si>
  <si>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</si>
  <si>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</si>
  <si>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</si>
  <si>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</si>
  <si>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</si>
  <si>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</si>
  <si>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</si>
  <si>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</si>
  <si>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</si>
  <si>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</si>
  <si>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</si>
  <si>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</si>
  <si>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</si>
  <si>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</si>
  <si>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</si>
  <si>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</si>
  <si>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</si>
  <si>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</si>
  <si>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</si>
  <si>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</si>
  <si>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</si>
  <si>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</si>
  <si>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</si>
  <si>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</si>
  <si>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</si>
  <si>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</si>
  <si>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</si>
  <si>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</si>
  <si>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</si>
  <si>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</si>
  <si>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</si>
  <si>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</si>
  <si>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</si>
  <si>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</si>
  <si>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</si>
  <si>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</si>
  <si>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</si>
  <si>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</si>
  <si>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</si>
  <si>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</si>
  <si>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</si>
  <si>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</si>
  <si>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</si>
  <si>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</si>
  <si>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</si>
  <si>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</si>
  <si>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</si>
  <si>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</si>
  <si>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</si>
  <si>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</si>
  <si>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</si>
  <si>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</si>
  <si>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</si>
  <si>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</si>
  <si>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</si>
  <si>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</si>
  <si>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</si>
  <si>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</si>
  <si>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</si>
  <si>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</si>
  <si>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</si>
  <si>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</si>
  <si>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</si>
  <si>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</si>
  <si>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</si>
  <si>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</si>
  <si>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</si>
  <si>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</si>
  <si>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</si>
  <si>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</si>
  <si>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</si>
  <si>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</si>
  <si>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</si>
  <si>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</si>
  <si>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</si>
  <si>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</si>
  <si>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</si>
  <si>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</si>
  <si>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</si>
  <si>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</si>
  <si>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</si>
  <si>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</si>
  <si>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</si>
  <si>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</si>
  <si>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</si>
  <si>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</si>
  <si>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</si>
  <si>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</si>
  <si>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</si>
  <si>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</si>
  <si>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</si>
  <si>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</si>
  <si>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</si>
  <si>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</si>
  <si>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</si>
  <si>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</si>
  <si>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</si>
  <si>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</si>
  <si>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</si>
  <si>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</si>
  <si>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</si>
  <si>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</si>
  <si>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</si>
  <si>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</si>
  <si>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</si>
  <si>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</si>
  <si>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</si>
  <si>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</si>
  <si>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</si>
  <si>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</si>
  <si>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</si>
  <si>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</si>
  <si>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</si>
  <si>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</si>
  <si>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</si>
  <si>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</si>
  <si>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</si>
  <si>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</si>
  <si>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</si>
  <si>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</si>
  <si>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</si>
  <si>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</si>
  <si>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</si>
  <si>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</si>
  <si>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</si>
  <si>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</si>
  <si>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</si>
  <si>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</si>
  <si>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</si>
  <si>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</si>
  <si>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</si>
  <si>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</si>
  <si>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</si>
  <si>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</si>
  <si>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</si>
  <si>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</si>
  <si>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</si>
  <si>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</si>
  <si>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</si>
  <si>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</si>
  <si>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</si>
  <si>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</si>
  <si>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</si>
  <si>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</si>
  <si>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</si>
  <si>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</si>
  <si>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</si>
  <si>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</si>
  <si>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</si>
  <si>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</si>
  <si>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</si>
  <si>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</si>
  <si>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</si>
  <si>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</si>
  <si>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</si>
  <si>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</si>
  <si>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</si>
  <si>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</si>
  <si>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</si>
  <si>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</si>
  <si>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</si>
  <si>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</si>
  <si>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</si>
  <si>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</si>
  <si>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</si>
  <si>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</si>
  <si>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</si>
  <si>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</si>
  <si>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</si>
  <si>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</si>
  <si>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</si>
  <si>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</si>
  <si>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</si>
  <si>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</si>
  <si>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</si>
  <si>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</si>
  <si>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</si>
  <si>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</si>
  <si>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</si>
  <si>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</si>
  <si>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</si>
  <si>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</si>
  <si>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</si>
  <si>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</si>
  <si>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</si>
  <si>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</si>
  <si>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</si>
  <si>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</si>
  <si>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</si>
  <si>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</si>
  <si>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</si>
  <si>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</si>
  <si>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</si>
  <si>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</si>
  <si>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</si>
  <si>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</si>
  <si>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</si>
  <si>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</si>
  <si>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</si>
  <si>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</si>
  <si>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</si>
  <si>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</si>
  <si>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</si>
  <si>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</si>
  <si>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</si>
  <si>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</si>
  <si>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</si>
  <si>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</si>
  <si>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</si>
  <si>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</si>
  <si>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</si>
  <si>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</si>
  <si>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</si>
  <si>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</si>
  <si>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</si>
  <si>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</si>
  <si>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</si>
  <si>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</si>
  <si>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</si>
  <si>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</si>
  <si>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</si>
  <si>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</si>
  <si>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</si>
  <si>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</si>
  <si>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</si>
  <si>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</si>
  <si>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</si>
  <si>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</si>
  <si>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</si>
  <si>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</si>
  <si>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</si>
  <si>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</si>
  <si>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</si>
  <si>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</si>
  <si>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</si>
  <si>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</si>
  <si>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</si>
  <si>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</si>
  <si>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</si>
  <si>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</si>
  <si>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</si>
  <si>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</si>
  <si>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</si>
  <si>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</si>
  <si>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</si>
  <si>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</si>
  <si>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</si>
  <si>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</si>
  <si>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</si>
  <si>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</si>
  <si>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</si>
  <si>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</si>
  <si>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</si>
  <si>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</si>
  <si>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</si>
  <si>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</si>
  <si>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</si>
  <si>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</si>
  <si>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</si>
  <si>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</si>
  <si>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</si>
  <si>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</si>
  <si>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</si>
  <si>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</si>
  <si>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</si>
  <si>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</si>
  <si>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</si>
  <si>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</si>
  <si>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</si>
  <si>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</si>
  <si>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</si>
  <si>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</si>
  <si>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</si>
  <si>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</si>
  <si>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</si>
  <si>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</si>
  <si>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</si>
  <si>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</si>
  <si>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</si>
  <si>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</si>
  <si>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</si>
  <si>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</si>
  <si>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</si>
  <si>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</si>
  <si>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</si>
  <si>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</si>
  <si>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</si>
  <si>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</si>
  <si>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</si>
  <si>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</si>
  <si>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</si>
  <si>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</si>
  <si>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</si>
  <si>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</si>
  <si>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</si>
  <si>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</si>
  <si>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</si>
  <si>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</si>
  <si>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</si>
  <si>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</si>
  <si>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</si>
  <si>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</si>
  <si>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</si>
  <si>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</si>
  <si>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</si>
  <si>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</si>
  <si>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</si>
  <si>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</si>
  <si>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</si>
  <si>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</si>
  <si>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</si>
  <si>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</si>
  <si>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</si>
  <si>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</si>
  <si>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</si>
  <si>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</si>
  <si>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</si>
  <si>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</si>
  <si>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</si>
  <si>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</si>
  <si>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</si>
  <si>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</si>
  <si>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</si>
  <si>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</si>
  <si>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</si>
  <si>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</si>
  <si>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</si>
  <si>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</si>
  <si>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</si>
  <si>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</si>
  <si>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</si>
  <si>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</si>
  <si>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</si>
  <si>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</si>
  <si>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</si>
  <si>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</si>
  <si>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</si>
  <si>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</si>
  <si>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</si>
  <si>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</si>
  <si>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</si>
  <si>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</si>
  <si>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</si>
  <si>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</si>
  <si>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</si>
  <si>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</si>
  <si>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</si>
  <si>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</si>
  <si>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</si>
  <si>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</si>
  <si>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</si>
  <si>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</si>
  <si>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</si>
  <si>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</si>
  <si>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</si>
  <si>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</si>
  <si>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</si>
  <si>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</si>
  <si>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</si>
  <si>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</si>
  <si>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</si>
  <si>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</si>
  <si>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</si>
  <si>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</si>
  <si>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</si>
  <si>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</si>
  <si>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</si>
  <si>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</si>
  <si>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</si>
  <si>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</si>
  <si>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</si>
  <si>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</si>
  <si>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</si>
  <si>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</si>
  <si>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</si>
  <si>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</si>
  <si>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</si>
  <si>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</si>
  <si>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</si>
  <si>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</si>
  <si>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</si>
  <si>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</si>
  <si>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</si>
  <si>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</si>
  <si>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</si>
  <si>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</si>
  <si>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</si>
  <si>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</si>
  <si>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</si>
  <si>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</si>
  <si>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</si>
  <si>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</si>
  <si>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</si>
  <si>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</si>
  <si>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</si>
  <si>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</si>
  <si>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</si>
  <si>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</si>
  <si>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</si>
  <si>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</si>
  <si>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</si>
  <si>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</si>
  <si>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</si>
  <si>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</si>
  <si>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</si>
  <si>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</si>
  <si>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</si>
  <si>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</si>
  <si>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</si>
  <si>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</si>
  <si>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</si>
  <si>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</si>
  <si>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</si>
  <si>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</si>
  <si>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</si>
  <si>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</si>
  <si>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</si>
  <si>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</si>
  <si>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</si>
  <si>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</si>
  <si>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</si>
  <si>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</si>
  <si>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</si>
  <si>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</si>
  <si>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</si>
  <si>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</si>
  <si>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</si>
  <si>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</si>
  <si>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</si>
  <si>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</si>
  <si>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</si>
  <si>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</si>
  <si>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</si>
  <si>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</si>
  <si>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</si>
  <si>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</si>
  <si>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</si>
  <si>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</si>
  <si>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</si>
  <si>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</si>
  <si>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</si>
  <si>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</si>
  <si>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</si>
  <si>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</si>
  <si>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</si>
  <si>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</si>
  <si>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</si>
  <si>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</si>
  <si>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</si>
  <si>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</si>
  <si>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</si>
  <si>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</si>
  <si>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</si>
  <si>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</si>
  <si>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</si>
  <si>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</si>
  <si>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</si>
  <si>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</si>
  <si>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</si>
  <si>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</si>
  <si>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</si>
  <si>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</si>
  <si>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</si>
  <si>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</si>
  <si>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</si>
  <si>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</si>
  <si>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</si>
  <si>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</si>
  <si>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</si>
  <si>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</si>
  <si>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</si>
  <si>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</si>
  <si>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</si>
  <si>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</si>
  <si>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</si>
  <si>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</si>
  <si>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</si>
  <si>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</si>
  <si>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</si>
  <si>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</si>
  <si>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</si>
  <si>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</si>
  <si>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</si>
  <si>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</si>
  <si>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</si>
  <si>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</si>
  <si>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</si>
  <si>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</si>
  <si>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</si>
  <si>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</si>
  <si>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</si>
  <si>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</si>
  <si>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</si>
  <si>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</si>
  <si>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</si>
  <si>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</si>
  <si>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</si>
  <si>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</si>
  <si>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</si>
  <si>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</si>
  <si>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</si>
  <si>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</si>
  <si>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</si>
  <si>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</si>
  <si>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</si>
  <si>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</si>
  <si>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</si>
  <si>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</si>
  <si>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</si>
  <si>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</si>
  <si>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</si>
  <si>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</si>
  <si>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</si>
  <si>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</si>
  <si>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</si>
  <si>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</si>
  <si>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</si>
  <si>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</si>
  <si>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</si>
  <si>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</si>
  <si>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</si>
  <si>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</si>
  <si>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</si>
  <si>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</si>
  <si>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</si>
  <si>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</si>
  <si>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</si>
  <si>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</si>
  <si>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</si>
  <si>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</si>
  <si>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</si>
  <si>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</si>
  <si>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</si>
  <si>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</si>
  <si>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</si>
  <si>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</si>
  <si>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</si>
  <si>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</si>
  <si>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</si>
  <si>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</si>
  <si>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</si>
  <si>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</si>
  <si>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</si>
  <si>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</si>
  <si>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</si>
  <si>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</si>
  <si>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</si>
  <si>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</si>
  <si>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</si>
  <si>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</si>
  <si>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</si>
  <si>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</si>
  <si>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</si>
  <si>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</si>
  <si>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</si>
  <si>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</si>
  <si>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</si>
  <si>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</si>
  <si>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</si>
  <si>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</si>
  <si>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</si>
  <si>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</si>
  <si>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</si>
  <si>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</si>
  <si>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</si>
  <si>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</si>
  <si>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</si>
  <si>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</si>
  <si>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</si>
  <si>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</si>
  <si>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</si>
  <si>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</si>
  <si>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</si>
  <si>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</si>
  <si>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</si>
  <si>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</si>
  <si>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</si>
  <si>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</si>
  <si>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</si>
  <si>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</si>
  <si>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</si>
  <si>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</si>
  <si>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</si>
  <si>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</si>
  <si>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</si>
  <si>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</si>
  <si>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</si>
  <si>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</si>
  <si>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</si>
  <si>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</si>
  <si>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</si>
  <si>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</si>
  <si>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</si>
  <si>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</si>
  <si>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</si>
  <si>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</si>
  <si>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</si>
  <si>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</si>
  <si>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</si>
  <si>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</si>
  <si>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</si>
  <si>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</si>
  <si>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</si>
  <si>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</si>
  <si>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</si>
  <si>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</si>
  <si>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</si>
  <si>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</si>
  <si>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</si>
  <si>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</si>
  <si>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</si>
  <si>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</si>
  <si>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</si>
  <si>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</si>
  <si>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</si>
  <si>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</si>
  <si>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</si>
  <si>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</si>
  <si>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</si>
  <si>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</si>
  <si>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</si>
  <si>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</si>
  <si>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</si>
  <si>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</si>
  <si>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</si>
  <si>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</si>
  <si>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</si>
  <si>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</si>
  <si>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</si>
  <si>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</si>
  <si>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</si>
  <si>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</si>
  <si>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</si>
  <si>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</si>
  <si>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</si>
  <si>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</si>
  <si>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</si>
  <si>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</si>
  <si>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</si>
  <si>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</si>
  <si>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</si>
  <si>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</si>
  <si>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</si>
  <si>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</si>
  <si>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</si>
  <si>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</si>
  <si>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</si>
  <si>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</si>
  <si>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</si>
  <si>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</si>
  <si>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</si>
  <si>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</si>
  <si>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</si>
  <si>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</si>
  <si>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</si>
  <si>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</si>
  <si>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</si>
  <si>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</si>
  <si>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</si>
  <si>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</si>
  <si>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</si>
  <si>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</si>
  <si>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</si>
  <si>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</si>
  <si>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</si>
  <si>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</si>
  <si>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</si>
  <si>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</si>
  <si>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</si>
  <si>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</si>
  <si>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</si>
  <si>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</si>
  <si>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</si>
  <si>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</si>
  <si>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</si>
  <si>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</si>
  <si>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</si>
  <si>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</si>
  <si>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</si>
  <si>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</si>
  <si>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</si>
  <si>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</si>
  <si>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</si>
  <si>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</si>
  <si>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</si>
  <si>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</si>
  <si>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</si>
  <si>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</si>
  <si>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</si>
  <si>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</si>
  <si>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</si>
  <si>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</si>
  <si>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</si>
  <si>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</si>
  <si>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</si>
  <si>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</si>
  <si>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</si>
  <si>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</si>
  <si>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</si>
  <si>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</si>
  <si>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</si>
  <si>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</si>
  <si>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</si>
  <si>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</si>
  <si>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</si>
  <si>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</si>
  <si>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</si>
  <si>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</si>
  <si>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</si>
  <si>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</si>
  <si>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</si>
  <si>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</si>
  <si>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</si>
  <si>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</si>
  <si>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</si>
  <si>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</si>
  <si>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</si>
  <si>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</si>
  <si>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</si>
  <si>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</si>
  <si>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</si>
  <si>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</si>
  <si>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</si>
  <si>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</si>
  <si>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</si>
  <si>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</si>
  <si>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</si>
  <si>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</si>
  <si>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</si>
  <si>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</si>
  <si>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</si>
  <si>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</si>
  <si>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</si>
  <si>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</si>
  <si>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</si>
  <si>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</si>
  <si>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</si>
  <si>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</si>
  <si>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</si>
  <si>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</si>
  <si>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</si>
  <si>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</si>
  <si>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</si>
  <si>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</si>
  <si>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</si>
  <si>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</si>
  <si>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</si>
  <si>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</si>
  <si>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</si>
  <si>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</si>
  <si>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</si>
  <si>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</si>
  <si>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</si>
  <si>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</si>
  <si>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</si>
  <si>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</si>
  <si>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</si>
  <si>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</si>
  <si>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</si>
  <si>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</si>
  <si>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</si>
  <si>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</si>
  <si>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</si>
  <si>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</si>
  <si>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</si>
  <si>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</si>
  <si>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</si>
  <si>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</si>
  <si>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</si>
  <si>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</si>
  <si>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</si>
  <si>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</si>
  <si>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</si>
  <si>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</si>
  <si>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</si>
  <si>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</si>
  <si>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</si>
  <si>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</si>
  <si>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</si>
  <si>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</si>
  <si>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</si>
  <si>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</si>
  <si>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</si>
  <si>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</si>
  <si>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</si>
  <si>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</si>
  <si>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</si>
  <si>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</si>
  <si>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</si>
  <si>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</si>
  <si>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</si>
  <si>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</si>
  <si>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</si>
  <si>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</si>
  <si>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</si>
  <si>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</si>
  <si>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</si>
  <si>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</si>
  <si>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</si>
  <si>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</si>
  <si>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</si>
  <si>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</si>
  <si>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</si>
  <si>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</si>
  <si>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</si>
  <si>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</si>
  <si>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</si>
  <si>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</si>
  <si>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</si>
  <si>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</si>
  <si>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</si>
  <si>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</si>
  <si>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</si>
  <si>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</si>
  <si>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</si>
  <si>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</si>
  <si>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</si>
  <si>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</si>
  <si>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</si>
  <si>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</si>
  <si>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</si>
  <si>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</si>
  <si>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</si>
  <si>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</si>
  <si>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</si>
  <si>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</si>
  <si>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</si>
  <si>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</si>
  <si>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</si>
  <si>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</si>
  <si>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</si>
  <si>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</si>
  <si>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</si>
  <si>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</si>
  <si>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</si>
  <si>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</si>
  <si>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</si>
  <si>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</si>
  <si>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</si>
  <si>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</si>
  <si>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</si>
  <si>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</si>
  <si>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</si>
  <si>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</si>
  <si>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</si>
  <si>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</si>
  <si>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</si>
  <si>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</si>
  <si>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</si>
  <si>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</si>
  <si>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</si>
  <si>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</si>
  <si>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</si>
  <si>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</si>
  <si>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</si>
  <si>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</si>
  <si>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</si>
  <si>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</si>
  <si>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</si>
  <si>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</si>
  <si>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</si>
  <si>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</si>
  <si>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</si>
  <si>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</si>
  <si>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</si>
  <si>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</si>
  <si>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</si>
  <si>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</si>
  <si>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</si>
  <si>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</si>
  <si>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</si>
  <si>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</si>
  <si>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</si>
  <si>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</si>
  <si>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</si>
  <si>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</si>
  <si>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</si>
  <si>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</si>
  <si>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</si>
  <si>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</si>
  <si>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</si>
  <si>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</si>
  <si>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</si>
  <si>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</si>
  <si>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</si>
  <si>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</si>
  <si>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</si>
  <si>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</si>
  <si>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</si>
  <si>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</si>
  <si>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</si>
  <si>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</si>
  <si>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</si>
  <si>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</si>
  <si>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</si>
  <si>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</si>
  <si>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</si>
  <si>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</si>
  <si>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</si>
  <si>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</si>
  <si>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</si>
  <si>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</si>
  <si>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</si>
  <si>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</si>
  <si>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</si>
  <si>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</si>
  <si>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</si>
  <si>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</si>
  <si>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</si>
  <si>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</si>
  <si>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</si>
  <si>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</si>
  <si>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</si>
  <si>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</si>
  <si>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</si>
  <si>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</si>
  <si>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</si>
  <si>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</si>
  <si>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</si>
  <si>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</si>
  <si>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</si>
  <si>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</si>
  <si>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</si>
  <si>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</si>
  <si>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</si>
  <si>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</si>
  <si>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</si>
  <si>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</si>
  <si>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</si>
  <si>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</si>
  <si>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</si>
  <si>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</si>
  <si>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</si>
  <si>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</si>
  <si>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</si>
  <si>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</si>
  <si>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</si>
  <si>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</si>
  <si>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</si>
  <si>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</si>
  <si>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</si>
  <si>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</si>
  <si>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</si>
  <si>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</si>
  <si>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</si>
  <si>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</si>
  <si>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</si>
  <si>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</si>
  <si>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</si>
  <si>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</si>
  <si>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</si>
  <si>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</si>
  <si>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</si>
  <si>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</si>
  <si>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</si>
  <si>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</si>
  <si>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</si>
  <si>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</si>
  <si>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</si>
  <si>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</si>
  <si>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</si>
  <si>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</si>
  <si>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</si>
  <si>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</si>
  <si>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</si>
  <si>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</si>
  <si>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</si>
  <si>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</si>
  <si>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</si>
  <si>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</si>
  <si>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</si>
  <si>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</si>
  <si>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</si>
  <si>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</si>
  <si>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</si>
  <si>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</si>
  <si>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</si>
  <si>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</si>
  <si>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</si>
  <si>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</si>
  <si>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</si>
  <si>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</si>
  <si>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</si>
  <si>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</si>
  <si>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</si>
  <si>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</si>
  <si>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</si>
  <si>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</si>
  <si>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</si>
  <si>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</si>
  <si>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</si>
  <si>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</si>
  <si>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</si>
  <si>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</si>
  <si>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</si>
  <si>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</si>
  <si>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</si>
  <si>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</si>
  <si>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</si>
  <si>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</si>
  <si>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</si>
  <si>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</si>
  <si>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</si>
  <si>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</si>
  <si>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</si>
  <si>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</si>
  <si>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</si>
  <si>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</si>
  <si>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</si>
  <si>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</si>
  <si>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</si>
  <si>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</si>
  <si>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</si>
  <si>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</si>
  <si>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</si>
  <si>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</si>
  <si>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</si>
  <si>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</si>
  <si>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</si>
  <si>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</si>
  <si>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</si>
  <si>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</si>
  <si>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</si>
  <si>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</si>
  <si>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</si>
  <si>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</si>
  <si>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</si>
  <si>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</si>
  <si>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</si>
  <si>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</si>
  <si>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</si>
  <si>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</si>
  <si>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</si>
  <si>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</si>
  <si>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</si>
  <si>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</si>
  <si>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</si>
  <si>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</si>
  <si>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</si>
  <si>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</si>
  <si>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</si>
  <si>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</si>
  <si>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</si>
  <si>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</si>
  <si>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</si>
  <si>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</si>
  <si>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</si>
  <si>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</si>
  <si>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</si>
  <si>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</si>
  <si>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</si>
  <si>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</si>
  <si>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</si>
  <si>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</si>
  <si>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</si>
  <si>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</si>
  <si>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</si>
  <si>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</si>
  <si>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</si>
  <si>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</si>
  <si>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</si>
  <si>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</si>
  <si>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</si>
  <si>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</si>
  <si>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</si>
  <si>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</si>
  <si>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</si>
  <si>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</si>
  <si>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</si>
  <si>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</si>
  <si>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</si>
  <si>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</si>
  <si>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</si>
  <si>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</si>
  <si>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</si>
  <si>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</si>
  <si>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</si>
  <si>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</si>
  <si>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</si>
  <si>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</si>
  <si>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</si>
  <si>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</si>
  <si>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</si>
  <si>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</si>
  <si>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</si>
  <si>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</si>
  <si>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</si>
  <si>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</si>
  <si>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</si>
  <si>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</si>
  <si>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</si>
  <si>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</si>
  <si>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</si>
  <si>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</si>
  <si>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</si>
  <si>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</si>
  <si>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</si>
  <si>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</si>
  <si>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</si>
  <si>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</si>
  <si>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</si>
  <si>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</si>
  <si>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</si>
  <si>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</si>
  <si>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</si>
  <si>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</si>
  <si>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</si>
  <si>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</si>
  <si>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</si>
  <si>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</si>
  <si>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</si>
  <si>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</si>
  <si>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</si>
  <si>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</si>
  <si>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</si>
  <si>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</si>
  <si>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</si>
  <si>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</si>
  <si>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</si>
  <si>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</si>
  <si>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</si>
  <si>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</si>
  <si>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</si>
  <si>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</si>
  <si>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</si>
  <si>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</si>
  <si>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</si>
  <si>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</si>
  <si>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</si>
  <si>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</si>
  <si>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</si>
  <si>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</si>
  <si>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</si>
  <si>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</si>
  <si>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</si>
  <si>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</si>
  <si>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</si>
  <si>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</si>
  <si>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</si>
  <si>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</si>
  <si>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</si>
  <si>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</si>
  <si>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</si>
  <si>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</si>
  <si>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</si>
  <si>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</si>
  <si>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</si>
  <si>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</si>
  <si>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</si>
  <si>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</si>
  <si>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</si>
  <si>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</si>
  <si>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</si>
  <si>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</si>
  <si>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</si>
  <si>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</si>
  <si>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</si>
  <si>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</si>
  <si>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</si>
  <si>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</si>
  <si>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</si>
  <si>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</si>
  <si>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</si>
  <si>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</si>
  <si>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</si>
  <si>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</si>
  <si>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</si>
  <si>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</si>
  <si>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</si>
  <si>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</si>
  <si>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</si>
  <si>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</si>
  <si>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</si>
  <si>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</si>
  <si>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</si>
  <si>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</si>
  <si>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</si>
  <si>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</si>
  <si>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</si>
  <si>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</si>
  <si>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</si>
  <si>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</si>
  <si>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</si>
  <si>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</si>
  <si>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</si>
  <si>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</si>
  <si>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</si>
  <si>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</si>
  <si>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</si>
  <si>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</si>
  <si>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</si>
  <si>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</si>
  <si>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</si>
  <si>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</si>
  <si>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</si>
  <si>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</si>
  <si>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</si>
  <si>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</si>
  <si>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</si>
  <si>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</si>
  <si>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</si>
  <si>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</si>
  <si>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</si>
  <si>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</si>
  <si>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</si>
  <si>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</si>
  <si>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</si>
  <si>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</si>
  <si>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</si>
  <si>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</si>
  <si>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</si>
  <si>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</si>
  <si>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</si>
  <si>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</si>
  <si>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</si>
  <si>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</si>
  <si>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</si>
  <si>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</si>
  <si>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</si>
  <si>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</si>
  <si>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</si>
  <si>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</si>
  <si>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</si>
  <si>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</si>
  <si>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</si>
  <si>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</si>
  <si>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</si>
  <si>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</si>
  <si>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</si>
  <si>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</si>
  <si>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</si>
  <si>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</si>
  <si>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</si>
  <si>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</si>
  <si>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</si>
  <si>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</si>
  <si>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</si>
  <si>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</si>
  <si>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</si>
  <si>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</si>
  <si>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</si>
  <si>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</si>
  <si>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</si>
  <si>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</si>
  <si>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</si>
  <si>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</si>
  <si>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</si>
  <si>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</si>
  <si>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</si>
  <si>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</si>
  <si>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</si>
  <si>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</si>
  <si>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</si>
  <si>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</si>
  <si>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</si>
  <si>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</si>
  <si>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</si>
  <si>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</si>
  <si>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</si>
  <si>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</si>
  <si>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</si>
  <si>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</si>
  <si>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</si>
  <si>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</si>
  <si>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</si>
  <si>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</si>
  <si>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</si>
  <si>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</si>
  <si>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</si>
  <si>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</si>
  <si>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</si>
  <si>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</si>
  <si>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</si>
  <si>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</si>
  <si>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</si>
  <si>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</si>
  <si>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</si>
  <si>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</si>
  <si>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</si>
  <si>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</si>
  <si>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</si>
  <si>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</si>
  <si>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</si>
  <si>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</si>
  <si>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</si>
  <si>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</si>
  <si>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</si>
  <si>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</si>
  <si>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</si>
  <si>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</si>
  <si>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</si>
  <si>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</si>
  <si>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</si>
  <si>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</si>
  <si>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</si>
  <si>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</si>
  <si>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</si>
  <si>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</si>
  <si>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</si>
  <si>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</si>
  <si>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</si>
  <si>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</si>
  <si>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</si>
  <si>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</si>
  <si>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</si>
  <si>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</si>
  <si>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</si>
  <si>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</si>
  <si>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</si>
  <si>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</si>
  <si>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</si>
  <si>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</si>
  <si>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</si>
  <si>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</si>
  <si>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</si>
  <si>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</si>
  <si>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</si>
  <si>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</si>
  <si>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</si>
  <si>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</si>
  <si>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</si>
  <si>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</si>
  <si>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</si>
  <si>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</si>
  <si>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</si>
  <si>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</si>
  <si>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</si>
  <si>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</si>
  <si>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</si>
  <si>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</si>
  <si>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</si>
  <si>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</si>
  <si>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</si>
  <si>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</si>
  <si>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</si>
  <si>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</si>
  <si>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</si>
  <si>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</si>
  <si>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</si>
  <si>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</si>
  <si>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</si>
  <si>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</si>
  <si>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</si>
  <si>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</si>
  <si>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</si>
  <si>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</si>
  <si>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</si>
  <si>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</si>
  <si>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</si>
  <si>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</si>
  <si>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</si>
  <si>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</si>
  <si>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</si>
  <si>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</si>
  <si>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</si>
  <si>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</si>
  <si>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</si>
  <si>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</si>
  <si>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</si>
  <si>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</si>
  <si>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</si>
  <si>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</si>
  <si>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</si>
  <si>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</si>
  <si>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</si>
  <si>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</si>
  <si>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</si>
  <si>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</si>
  <si>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</si>
  <si>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</si>
  <si>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</si>
  <si>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</si>
  <si>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</si>
  <si>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</si>
  <si>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</si>
  <si>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</si>
  <si>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</si>
  <si>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</si>
  <si>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</si>
  <si>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</si>
  <si>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</si>
  <si>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</si>
  <si>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</si>
  <si>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</si>
  <si>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</si>
  <si>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</si>
  <si>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</si>
  <si>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</si>
  <si>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</si>
  <si>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</si>
  <si>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</si>
  <si>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</si>
  <si>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</si>
  <si>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</si>
  <si>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</si>
  <si>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</si>
  <si>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</si>
  <si>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</si>
  <si>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</si>
  <si>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</si>
  <si>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</si>
  <si>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</si>
  <si>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</si>
  <si>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</si>
  <si>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</si>
  <si>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</si>
  <si>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</si>
  <si>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</si>
  <si>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</si>
  <si>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</si>
  <si>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</si>
  <si>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</si>
  <si>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</si>
  <si>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</si>
  <si>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</si>
  <si>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</si>
  <si>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</si>
  <si>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</si>
  <si>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</si>
  <si>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</si>
  <si>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</si>
  <si>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</si>
  <si>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</si>
  <si>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</si>
  <si>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</si>
  <si>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</si>
  <si>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</si>
  <si>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</si>
  <si>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</si>
  <si>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</si>
  <si>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</si>
  <si>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</si>
  <si>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</si>
  <si>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</si>
  <si>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</si>
  <si>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</si>
  <si>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</si>
  <si>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</si>
  <si>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</si>
  <si>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</si>
  <si>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</si>
  <si>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</si>
  <si>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</si>
  <si>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</si>
  <si>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</si>
  <si>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</si>
  <si>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</si>
  <si>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</si>
  <si>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</si>
  <si>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</si>
  <si>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</si>
  <si>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</si>
  <si>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</si>
  <si>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</si>
  <si>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</si>
  <si>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</si>
  <si>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</si>
  <si>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</si>
  <si>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</si>
  <si>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</si>
  <si>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</si>
  <si>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</si>
  <si>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</si>
  <si>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</si>
  <si>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</si>
  <si>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</si>
  <si>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</si>
  <si>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</si>
  <si>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</si>
  <si>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</si>
  <si>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</si>
  <si>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</si>
  <si>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</si>
  <si>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</si>
  <si>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</si>
  <si>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</si>
  <si>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</si>
  <si>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</si>
  <si>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</si>
  <si>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</si>
  <si>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</si>
  <si>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</si>
  <si>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</si>
  <si>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</si>
  <si>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</si>
  <si>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</si>
  <si>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</si>
  <si>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</si>
  <si>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</si>
  <si>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</si>
  <si>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</si>
  <si>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</si>
  <si>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</si>
  <si>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</si>
  <si>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</si>
  <si>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</si>
  <si>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</si>
  <si>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</si>
  <si>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</si>
  <si>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</si>
  <si>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</si>
  <si>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</si>
  <si>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</si>
  <si>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</si>
  <si>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</si>
  <si>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</si>
  <si>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</si>
  <si>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</si>
  <si>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</si>
  <si>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</si>
  <si>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</si>
  <si>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</si>
  <si>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</si>
  <si>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</si>
  <si>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</si>
  <si>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</si>
  <si>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</si>
  <si>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</si>
  <si>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</si>
  <si>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</si>
  <si>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</si>
  <si>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</si>
  <si>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</si>
  <si>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</si>
  <si>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</si>
  <si>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</si>
  <si>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</si>
  <si>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</si>
  <si>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</si>
  <si>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</si>
  <si>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</si>
  <si>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</si>
  <si>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</si>
  <si>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</si>
  <si>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</si>
  <si>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</si>
  <si>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</si>
  <si>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</si>
  <si>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</si>
  <si>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</si>
  <si>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</si>
  <si>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</si>
  <si>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</si>
  <si>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</si>
  <si>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</si>
  <si>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</si>
  <si>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</si>
  <si>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</si>
  <si>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</si>
  <si>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</si>
  <si>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</si>
  <si>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</si>
  <si>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</si>
  <si>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</si>
  <si>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</si>
  <si>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</si>
  <si>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</si>
  <si>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</si>
  <si>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</si>
  <si>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</si>
  <si>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</si>
  <si>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</si>
  <si>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</si>
  <si>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</si>
  <si>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</si>
  <si>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</si>
  <si>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</si>
  <si>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</si>
  <si>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</si>
  <si>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</si>
  <si>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</si>
  <si>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</si>
  <si>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</si>
  <si>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</si>
  <si>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</si>
  <si>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</si>
  <si>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</si>
  <si>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</si>
  <si>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</si>
  <si>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</si>
  <si>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</si>
  <si>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</si>
  <si>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</si>
  <si>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</si>
  <si>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</si>
  <si>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</si>
  <si>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</si>
  <si>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</si>
  <si>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</si>
  <si>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</si>
  <si>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</si>
  <si>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</si>
  <si>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</si>
  <si>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</si>
  <si>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</si>
  <si>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</si>
  <si>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</si>
  <si>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</si>
  <si>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</si>
  <si>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</si>
  <si>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</si>
  <si>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</si>
  <si>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</si>
  <si>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</si>
  <si>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</si>
  <si>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</si>
  <si>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</si>
  <si>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</si>
  <si>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</si>
  <si>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</si>
  <si>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</si>
  <si>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</si>
  <si>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</si>
  <si>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</si>
  <si>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</si>
  <si>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</si>
  <si>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</si>
  <si>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</si>
  <si>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</si>
  <si>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</si>
  <si>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</si>
  <si>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</si>
  <si>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</si>
  <si>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</si>
  <si>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</si>
  <si>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</si>
  <si>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</si>
  <si>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</si>
  <si>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</si>
  <si>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</si>
  <si>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</si>
  <si>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</si>
  <si>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</si>
  <si>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</si>
  <si>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</si>
  <si>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</si>
  <si>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</si>
  <si>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</si>
  <si>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</si>
  <si>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</si>
  <si>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</si>
  <si>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</si>
  <si>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</si>
  <si>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</si>
  <si>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</si>
  <si>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</si>
  <si>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</si>
  <si>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</si>
  <si>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</si>
  <si>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</si>
  <si>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</si>
  <si>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</si>
  <si>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</si>
  <si>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</si>
  <si>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</si>
  <si>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</si>
  <si>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</si>
  <si>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</si>
  <si>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</si>
  <si>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</si>
  <si>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</si>
  <si>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</si>
  <si>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</si>
  <si>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</si>
  <si>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</si>
  <si>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</si>
  <si>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</si>
  <si>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</si>
  <si>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</si>
  <si>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</si>
  <si>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</si>
  <si>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</si>
  <si>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</si>
  <si>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</si>
  <si>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</si>
  <si>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</si>
  <si>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</si>
  <si>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</si>
  <si>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</si>
  <si>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</si>
  <si>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</si>
  <si>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</si>
  <si>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</si>
  <si>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</si>
  <si>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</si>
  <si>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</si>
  <si>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</si>
  <si>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</si>
  <si>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</si>
  <si>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</si>
  <si>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</si>
  <si>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</si>
  <si>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</si>
  <si>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</si>
  <si>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</si>
  <si>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</si>
  <si>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</si>
  <si>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</si>
  <si>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</si>
  <si>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</si>
  <si>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</si>
  <si>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</si>
  <si>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</si>
  <si>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</si>
  <si>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</si>
  <si>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</si>
  <si>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</si>
  <si>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</si>
  <si>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</si>
  <si>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</si>
  <si>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</si>
  <si>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</si>
  <si>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</si>
  <si>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</si>
  <si>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</si>
  <si>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</si>
  <si>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</si>
  <si>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</si>
  <si>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</si>
  <si>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</si>
  <si>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</si>
  <si>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</si>
  <si>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</si>
  <si>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</si>
  <si>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</si>
  <si>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</si>
  <si>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</si>
  <si>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</si>
  <si>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</si>
  <si>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</si>
  <si>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</si>
  <si>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</si>
  <si>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</si>
  <si>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</si>
  <si>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</si>
  <si>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</si>
  <si>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</si>
  <si>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</si>
  <si>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</si>
  <si>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</si>
  <si>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</si>
  <si>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</si>
  <si>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</si>
  <si>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</si>
  <si>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</si>
  <si>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</si>
  <si>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</si>
  <si>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</si>
  <si>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</si>
  <si>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</si>
  <si>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</si>
  <si>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</si>
  <si>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</si>
  <si>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</si>
  <si>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</si>
  <si>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</si>
  <si>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</si>
  <si>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</si>
  <si>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</si>
  <si>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</si>
  <si>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</si>
  <si>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</si>
  <si>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</si>
  <si>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</si>
  <si>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</si>
  <si>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</si>
  <si>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</si>
  <si>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</si>
  <si>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</si>
  <si>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</si>
  <si>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</si>
  <si>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</si>
  <si>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</si>
  <si>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</si>
  <si>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</si>
  <si>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</si>
  <si>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</si>
  <si>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</si>
  <si>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</si>
  <si>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</si>
  <si>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</si>
  <si>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</si>
  <si>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</si>
  <si>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</si>
  <si>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</si>
  <si>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</si>
  <si>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</si>
  <si>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</si>
  <si>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</si>
  <si>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</si>
  <si>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</si>
  <si>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</si>
  <si>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</si>
  <si>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</si>
  <si>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</si>
  <si>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</si>
  <si>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</si>
  <si>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</si>
  <si>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</si>
  <si>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</si>
  <si>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</si>
  <si>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</si>
  <si>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</si>
  <si>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</si>
  <si>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</si>
  <si>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</si>
  <si>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</si>
  <si>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</si>
  <si>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</si>
  <si>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</si>
  <si>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</si>
  <si>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</si>
  <si>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</si>
  <si>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</si>
  <si>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</si>
  <si>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</si>
  <si>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</si>
  <si>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</si>
  <si>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</si>
  <si>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</si>
  <si>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</si>
  <si>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</si>
  <si>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</si>
  <si>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</si>
  <si>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</si>
  <si>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</si>
  <si>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</si>
  <si>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</si>
  <si>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</si>
  <si>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</si>
  <si>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</si>
  <si>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</si>
  <si>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</si>
  <si>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</si>
  <si>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</si>
  <si>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</si>
  <si>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</si>
  <si>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</si>
  <si>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</si>
  <si>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</si>
  <si>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</si>
  <si>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</si>
  <si>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</si>
  <si>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</si>
  <si>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</si>
  <si>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</si>
  <si>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</si>
  <si>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</si>
  <si>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</si>
  <si>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</si>
  <si>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</si>
  <si>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</si>
  <si>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</si>
  <si>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</si>
  <si>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</si>
  <si>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</si>
  <si>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</si>
  <si>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</si>
  <si>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</si>
  <si>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</si>
  <si>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</si>
  <si>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</si>
  <si>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</si>
  <si>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</si>
  <si>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</si>
  <si>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</si>
  <si>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</si>
  <si>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</si>
  <si>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</si>
  <si>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</si>
  <si>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</si>
  <si>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</si>
  <si>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</si>
  <si>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</si>
  <si>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</si>
  <si>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</si>
  <si>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</si>
  <si>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</si>
  <si>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</si>
  <si>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</si>
  <si>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</si>
  <si>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</si>
  <si>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</si>
  <si>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</si>
  <si>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</si>
  <si>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</si>
  <si>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</si>
  <si>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</si>
  <si>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</si>
  <si>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</si>
  <si>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</si>
  <si>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</si>
  <si>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</si>
  <si>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</si>
  <si>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</si>
  <si>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</si>
  <si>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</si>
  <si>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</si>
  <si>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</si>
  <si>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</si>
  <si>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</si>
  <si>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</si>
  <si>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</si>
  <si>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</si>
  <si>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</si>
  <si>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</si>
  <si>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</si>
  <si>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</si>
  <si>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</si>
  <si>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</si>
  <si>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</si>
  <si>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</si>
  <si>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</si>
  <si>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</si>
  <si>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</si>
  <si>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</si>
  <si>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</si>
  <si>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</si>
  <si>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</si>
  <si>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</si>
  <si>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</si>
  <si>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</si>
  <si>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</si>
  <si>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</si>
  <si>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</si>
  <si>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</si>
  <si>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</si>
  <si>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</si>
  <si>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</si>
  <si>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</si>
  <si>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</si>
  <si>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</si>
  <si>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</si>
  <si>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</si>
  <si>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</si>
  <si>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</si>
  <si>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</si>
  <si>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</si>
  <si>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</si>
  <si>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</si>
  <si>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</si>
  <si>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</si>
  <si>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</si>
  <si>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</si>
  <si>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</si>
  <si>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</si>
  <si>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</si>
  <si>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</si>
  <si>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</si>
  <si>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</si>
  <si>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</si>
  <si>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</si>
  <si>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</si>
  <si>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</si>
  <si>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</si>
  <si>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</si>
  <si>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</si>
  <si>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</si>
  <si>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</si>
  <si>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</si>
  <si>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</si>
  <si>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</si>
  <si>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</si>
  <si>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</si>
  <si>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</si>
  <si>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</si>
  <si>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</si>
  <si>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</si>
  <si>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</si>
  <si>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</si>
  <si>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</si>
  <si>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</si>
  <si>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</si>
  <si>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</si>
  <si>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</si>
  <si>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</si>
  <si>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</si>
  <si>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</si>
  <si>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</si>
  <si>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</si>
  <si>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</si>
  <si>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</si>
  <si>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</si>
  <si>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</si>
  <si>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</si>
  <si>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</si>
  <si>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</si>
  <si>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</si>
  <si>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</si>
  <si>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</si>
  <si>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</si>
  <si>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</si>
  <si>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</si>
  <si>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</si>
  <si>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</si>
  <si>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</si>
  <si>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</si>
  <si>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</si>
  <si>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</si>
  <si>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</si>
  <si>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</si>
  <si>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</si>
  <si>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</si>
  <si>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</si>
  <si>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</si>
  <si>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</si>
  <si>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</si>
  <si>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</si>
  <si>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</si>
  <si>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</si>
  <si>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</si>
  <si>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</si>
  <si>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</si>
  <si>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</si>
  <si>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</si>
  <si>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</si>
  <si>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</si>
  <si>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</si>
  <si>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</si>
  <si>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</si>
  <si>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</si>
  <si>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</si>
  <si>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</si>
  <si>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</si>
  <si>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</si>
  <si>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</si>
  <si>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</si>
  <si>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</si>
  <si>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</si>
  <si>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</si>
  <si>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</si>
  <si>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</si>
  <si>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</si>
  <si>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</si>
  <si>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</si>
  <si>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</si>
  <si>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</si>
  <si>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</si>
  <si>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</si>
  <si>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</si>
  <si>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</si>
  <si>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</si>
  <si>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</si>
  <si>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</si>
  <si>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</si>
  <si>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</si>
  <si>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</si>
  <si>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</si>
  <si>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</si>
  <si>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</si>
  <si>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</si>
  <si>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</si>
  <si>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</si>
  <si>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</si>
  <si>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</si>
  <si>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</si>
  <si>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</si>
  <si>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</si>
  <si>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</si>
  <si>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</si>
  <si>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</si>
  <si>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</si>
  <si>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</si>
  <si>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</si>
  <si>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</si>
  <si>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</si>
  <si>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</si>
  <si>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</si>
  <si>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</si>
  <si>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</si>
  <si>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</si>
  <si>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</si>
  <si>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</si>
  <si>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</si>
  <si>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</si>
  <si>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</si>
  <si>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</si>
  <si>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</si>
  <si>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</si>
  <si>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</si>
  <si>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</si>
  <si>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</si>
  <si>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</si>
  <si>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</si>
  <si>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</si>
  <si>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</si>
  <si>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</si>
  <si>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</si>
  <si>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</si>
  <si>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</si>
  <si>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</si>
  <si>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</si>
  <si>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</si>
  <si>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</si>
  <si>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</si>
  <si>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</si>
  <si>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</si>
  <si>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</si>
  <si>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</si>
  <si>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</si>
  <si>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</si>
  <si>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</si>
  <si>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</si>
  <si>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</si>
  <si>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</si>
  <si>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</si>
  <si>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</si>
  <si>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</si>
  <si>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</si>
  <si>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</si>
  <si>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</si>
  <si>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</si>
  <si>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</si>
  <si>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</si>
  <si>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</si>
  <si>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</si>
  <si>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</si>
  <si>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</si>
  <si>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</si>
  <si>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</si>
  <si>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</si>
  <si>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</si>
  <si>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</si>
  <si>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</si>
  <si>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</si>
  <si>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</si>
  <si>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</si>
  <si>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</si>
  <si>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</si>
  <si>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</si>
  <si>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</si>
  <si>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</si>
  <si>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</si>
  <si>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</si>
  <si>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</si>
  <si>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</si>
  <si>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</si>
  <si>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</si>
  <si>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</si>
  <si>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</si>
  <si>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</si>
  <si>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</si>
  <si>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</si>
  <si>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</si>
  <si>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</si>
  <si>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</si>
  <si>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</si>
  <si>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</si>
  <si>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</si>
  <si>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</si>
  <si>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</si>
  <si>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</si>
  <si>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</si>
  <si>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</si>
  <si>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</si>
  <si>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</si>
  <si>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</si>
  <si>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</si>
  <si>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</si>
  <si>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</si>
  <si>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</si>
  <si>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</si>
  <si>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</si>
  <si>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</si>
  <si>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</si>
  <si>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</si>
  <si>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</si>
  <si>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</si>
  <si>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</si>
  <si>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</si>
  <si>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</si>
  <si>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</si>
  <si>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</si>
  <si>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</si>
  <si>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</si>
  <si>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</si>
  <si>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</si>
  <si>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</si>
  <si>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</si>
  <si>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</si>
  <si>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</si>
  <si>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</si>
  <si>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</si>
  <si>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</si>
  <si>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</si>
  <si>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</si>
  <si>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</si>
  <si>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</si>
  <si>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</si>
  <si>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</si>
  <si>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</si>
  <si>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</si>
  <si>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</si>
  <si>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</si>
  <si>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</si>
  <si>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</si>
  <si>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</si>
  <si>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</si>
  <si>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</si>
  <si>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</si>
  <si>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</si>
  <si>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</si>
  <si>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</si>
  <si>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</si>
  <si>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</si>
  <si>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</si>
  <si>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</si>
  <si>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</si>
  <si>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</si>
  <si>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</si>
  <si>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</si>
  <si>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</si>
  <si>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</si>
  <si>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</si>
  <si>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</si>
  <si>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</si>
  <si>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</si>
  <si>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</si>
  <si>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</si>
  <si>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</si>
  <si>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</si>
  <si>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</si>
  <si>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</si>
  <si>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</si>
  <si>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</si>
  <si>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</si>
  <si>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</si>
  <si>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</si>
  <si>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</si>
  <si>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</si>
  <si>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</si>
  <si>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</si>
  <si>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</si>
  <si>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</si>
  <si>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</si>
  <si>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</si>
  <si>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</si>
  <si>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</si>
  <si>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</si>
  <si>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</si>
  <si>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</si>
  <si>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</si>
  <si>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</si>
  <si>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</si>
  <si>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</si>
  <si>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</si>
  <si>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</si>
  <si>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</si>
  <si>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</si>
  <si>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</si>
  <si>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</si>
  <si>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</si>
  <si>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</si>
  <si>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</si>
  <si>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</si>
  <si>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</si>
  <si>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</si>
  <si>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</si>
  <si>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</si>
  <si>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</si>
  <si>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</si>
  <si>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</si>
  <si>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</si>
  <si>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</si>
  <si>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</si>
  <si>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</si>
  <si>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</si>
  <si>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</si>
  <si>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</si>
  <si>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</si>
  <si>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</si>
  <si>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</si>
  <si>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</si>
  <si>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</si>
  <si>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</si>
  <si>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</si>
  <si>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</si>
  <si>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</si>
  <si>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</si>
  <si>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</si>
  <si>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</si>
  <si>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</si>
  <si>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</si>
  <si>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</si>
  <si>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</si>
  <si>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</si>
  <si>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</si>
  <si>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</si>
  <si>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</si>
  <si>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</si>
  <si>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</si>
  <si>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</si>
  <si>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</si>
  <si>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</si>
  <si>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</si>
  <si>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</si>
  <si>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</si>
  <si>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</si>
  <si>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</si>
  <si>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</si>
  <si>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</si>
  <si>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</si>
  <si>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</si>
  <si>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</si>
  <si>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</si>
  <si>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</si>
  <si>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</si>
  <si>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</si>
  <si>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</si>
  <si>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</si>
  <si>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</si>
  <si>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</si>
  <si>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</si>
  <si>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</si>
  <si>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</si>
  <si>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</si>
  <si>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</si>
  <si>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</si>
  <si>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</si>
  <si>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</si>
  <si>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</si>
  <si>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</si>
  <si>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</si>
  <si>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</si>
  <si>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</si>
  <si>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</si>
  <si>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</si>
  <si>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</si>
  <si>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</si>
  <si>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</si>
  <si>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</si>
  <si>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</si>
  <si>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</si>
  <si>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</si>
  <si>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</si>
  <si>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</si>
  <si>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</si>
  <si>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</si>
  <si>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</si>
  <si>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</si>
  <si>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</si>
  <si>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</si>
  <si>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</si>
  <si>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</si>
  <si>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</si>
  <si>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</si>
  <si>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</si>
  <si>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</si>
  <si>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</si>
  <si>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</si>
  <si>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</si>
  <si>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</si>
  <si>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</si>
  <si>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</si>
  <si>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</si>
  <si>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</si>
  <si>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</si>
  <si>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</si>
  <si>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</si>
  <si>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</si>
  <si>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</si>
  <si>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</si>
  <si>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</si>
  <si>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</si>
  <si>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</si>
  <si>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</si>
  <si>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</si>
  <si>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</si>
  <si>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</si>
  <si>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</si>
  <si>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</si>
  <si>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</si>
  <si>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</si>
  <si>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</si>
  <si>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</si>
  <si>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</si>
  <si>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</si>
  <si>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</si>
  <si>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</si>
  <si>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</si>
  <si>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</si>
  <si>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</si>
  <si>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</si>
  <si>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</si>
  <si>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</si>
  <si>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</si>
  <si>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</si>
  <si>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</si>
  <si>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</si>
  <si>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</si>
  <si>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</si>
  <si>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</si>
  <si>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</si>
  <si>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</si>
  <si>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</si>
  <si>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</si>
  <si>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</si>
  <si>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</si>
  <si>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</si>
  <si>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</si>
  <si>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</si>
  <si>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</si>
  <si>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</si>
  <si>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</si>
  <si>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</si>
  <si>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</si>
  <si>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</si>
  <si>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</si>
  <si>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</si>
  <si>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</si>
  <si>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</si>
  <si>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</si>
  <si>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</si>
  <si>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</si>
  <si>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</si>
  <si>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</si>
  <si>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</si>
  <si>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</si>
  <si>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</si>
  <si>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</si>
  <si>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</si>
  <si>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</si>
  <si>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</si>
  <si>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</si>
  <si>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</si>
  <si>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</si>
  <si>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</si>
  <si>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</si>
  <si>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</si>
  <si>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</si>
  <si>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</si>
  <si>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</si>
  <si>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</si>
  <si>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</si>
  <si>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</si>
  <si>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</si>
  <si>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</si>
  <si>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</si>
  <si>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</si>
  <si>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</si>
  <si>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</si>
  <si>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</si>
  <si>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</si>
  <si>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</si>
  <si>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</si>
  <si>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</si>
  <si>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</si>
  <si>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</si>
  <si>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</si>
  <si>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</si>
  <si>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</si>
  <si>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</si>
  <si>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</si>
  <si>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</si>
  <si>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</si>
  <si>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</si>
  <si>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</si>
  <si>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</si>
  <si>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</si>
  <si>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</si>
  <si>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</si>
  <si>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</si>
  <si>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</si>
  <si>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</si>
  <si>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</si>
  <si>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</si>
  <si>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</si>
  <si>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</si>
  <si>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</si>
  <si>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</si>
  <si>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</si>
  <si>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</si>
  <si>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</si>
  <si>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</si>
  <si>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</si>
  <si>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</si>
  <si>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</si>
  <si>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</si>
  <si>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</si>
  <si>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</si>
  <si>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</si>
  <si>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</si>
  <si>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</si>
  <si>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</si>
  <si>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</si>
  <si>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</si>
  <si>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</si>
  <si>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</si>
  <si>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</si>
  <si>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</si>
  <si>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</si>
  <si>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</si>
  <si>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</si>
  <si>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</si>
  <si>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</si>
  <si>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</si>
  <si>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</si>
  <si>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</si>
  <si>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</si>
  <si>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</si>
  <si>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</si>
  <si>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</si>
  <si>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</si>
  <si>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</si>
  <si>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</si>
  <si>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</si>
  <si>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</si>
  <si>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</si>
  <si>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</si>
  <si>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</si>
  <si>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</si>
  <si>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</si>
  <si>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</si>
  <si>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</si>
  <si>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</si>
  <si>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</si>
  <si>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</si>
  <si>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</si>
  <si>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</si>
  <si>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</si>
  <si>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</si>
  <si>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</si>
  <si>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</si>
  <si>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</si>
  <si>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</si>
  <si>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</si>
  <si>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</si>
  <si>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</si>
  <si>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</si>
  <si>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</si>
  <si>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</si>
  <si>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</si>
  <si>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</si>
  <si>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</si>
  <si>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</si>
  <si>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</si>
  <si>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</si>
  <si>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</si>
  <si>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</si>
  <si>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</si>
  <si>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</si>
  <si>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</si>
  <si>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</si>
  <si>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</si>
  <si>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</si>
  <si>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</si>
  <si>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</si>
  <si>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</si>
  <si>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</si>
  <si>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</si>
  <si>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</si>
  <si>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</si>
  <si>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</si>
  <si>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</si>
  <si>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</si>
  <si>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</si>
  <si>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</si>
  <si>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</si>
  <si>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</si>
  <si>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</si>
  <si>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</si>
  <si>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</si>
  <si>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</si>
  <si>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</si>
  <si>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</si>
  <si>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</si>
  <si>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</si>
  <si>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</si>
  <si>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</si>
  <si>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</si>
  <si>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</si>
  <si>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</si>
  <si>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</si>
  <si>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</si>
  <si>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</si>
  <si>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</si>
  <si>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</si>
  <si>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</si>
  <si>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</si>
  <si>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</si>
  <si>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</si>
  <si>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</si>
  <si>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</si>
  <si>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</si>
  <si>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</si>
  <si>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</si>
  <si>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</si>
  <si>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</si>
  <si>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</si>
  <si>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</si>
  <si>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</si>
  <si>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</si>
  <si>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</si>
  <si>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</si>
  <si>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</si>
  <si>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</si>
  <si>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</si>
  <si>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</si>
  <si>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</si>
  <si>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</si>
  <si>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</si>
  <si>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</si>
  <si>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</si>
  <si>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</si>
  <si>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</si>
  <si>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</si>
  <si>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</si>
  <si>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</si>
  <si>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</si>
  <si>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</si>
  <si>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</si>
  <si>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</si>
  <si>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</si>
  <si>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</si>
  <si>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</si>
  <si>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</si>
  <si>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</si>
  <si>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</si>
  <si>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</si>
  <si>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</si>
  <si>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</si>
  <si>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</si>
  <si>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</si>
  <si>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</si>
  <si>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</si>
  <si>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</si>
  <si>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</si>
  <si>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</si>
  <si>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</si>
  <si>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</si>
  <si>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</si>
  <si>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</si>
  <si>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</si>
  <si>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</si>
  <si>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</si>
  <si>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</si>
  <si>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</si>
  <si>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</si>
  <si>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</si>
  <si>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</si>
  <si>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</si>
  <si>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</si>
  <si>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</si>
  <si>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</si>
  <si>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</si>
  <si>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</si>
  <si>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</si>
  <si>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</si>
  <si>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</si>
  <si>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</si>
  <si>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</si>
  <si>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</si>
  <si>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</si>
  <si>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</si>
  <si>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</si>
  <si>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</si>
  <si>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</si>
  <si>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</si>
  <si>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</si>
  <si>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</si>
  <si>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</si>
  <si>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</si>
  <si>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</si>
  <si>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</si>
  <si>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</si>
  <si>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</si>
  <si>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</si>
  <si>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</si>
  <si>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</si>
  <si>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</si>
  <si>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</si>
  <si>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</si>
  <si>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</si>
  <si>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</si>
  <si>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</si>
  <si>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</si>
  <si>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</si>
  <si>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</si>
  <si>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</si>
  <si>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</si>
  <si>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</si>
  <si>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</si>
  <si>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</si>
  <si>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</si>
  <si>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</si>
  <si>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</si>
  <si>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</si>
  <si>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</si>
  <si>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</si>
  <si>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</si>
  <si>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</si>
  <si>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</si>
  <si>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</si>
  <si>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</si>
  <si>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</si>
  <si>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</si>
  <si>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</si>
  <si>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</si>
  <si>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</si>
  <si>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</si>
  <si>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</si>
  <si>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</si>
  <si>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</si>
  <si>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</si>
  <si>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</si>
  <si>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</si>
  <si>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</si>
  <si>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</si>
  <si>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</si>
  <si>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</si>
  <si>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</si>
  <si>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</si>
  <si>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</si>
  <si>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</si>
  <si>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</si>
  <si>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</si>
  <si>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</si>
  <si>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</si>
  <si>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</si>
  <si>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</si>
  <si>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</si>
  <si>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</si>
  <si>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</si>
  <si>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</si>
  <si>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</si>
  <si>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</si>
  <si>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</si>
  <si>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</si>
  <si>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</si>
  <si>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</si>
  <si>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</si>
  <si>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</si>
  <si>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</si>
  <si>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</si>
  <si>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</si>
  <si>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</si>
  <si>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</si>
  <si>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</si>
  <si>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</si>
  <si>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</si>
  <si>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</si>
  <si>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</si>
  <si>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</si>
  <si>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</si>
  <si>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</si>
  <si>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</si>
  <si>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</si>
  <si>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</si>
  <si>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</si>
  <si>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</si>
  <si>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</si>
  <si>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</si>
  <si>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</si>
  <si>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</si>
  <si>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</si>
  <si>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</si>
  <si>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</si>
  <si>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</si>
  <si>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</si>
  <si>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</si>
  <si>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</si>
  <si>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</si>
  <si>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</si>
  <si>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</si>
  <si>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</si>
  <si>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</si>
  <si>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</si>
  <si>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</si>
  <si>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</si>
  <si>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</si>
  <si>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</si>
  <si>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</si>
  <si>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</si>
  <si>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</si>
  <si>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</si>
  <si>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</si>
  <si>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</si>
  <si>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</si>
  <si>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</si>
  <si>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</si>
  <si>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</si>
  <si>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</si>
  <si>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</si>
  <si>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</si>
  <si>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</si>
  <si>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</si>
  <si>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</si>
  <si>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</si>
  <si>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</si>
  <si>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</si>
  <si>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</si>
  <si>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</si>
  <si>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</si>
  <si>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</si>
  <si>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</si>
  <si>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</si>
  <si>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</si>
  <si>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</si>
  <si>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</si>
  <si>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</si>
  <si>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</si>
  <si>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</si>
  <si>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</si>
  <si>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</si>
  <si>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</si>
  <si>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</si>
  <si>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</si>
  <si>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</si>
  <si>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</si>
  <si>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</si>
  <si>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</si>
  <si>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</si>
  <si>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</si>
  <si>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</si>
  <si>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</si>
  <si>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</si>
  <si>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</si>
  <si>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</si>
  <si>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</si>
  <si>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</si>
  <si>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</si>
  <si>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</si>
  <si>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</si>
  <si>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</si>
  <si>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</si>
  <si>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</si>
  <si>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</si>
  <si>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</si>
  <si>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</si>
  <si>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</si>
  <si>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</si>
  <si>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</si>
  <si>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</si>
  <si>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</si>
  <si>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</si>
  <si>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</si>
  <si>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</si>
  <si>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</si>
  <si>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</si>
  <si>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</si>
  <si>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</si>
  <si>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</si>
  <si>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</si>
  <si>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</si>
  <si>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</si>
  <si>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</si>
  <si>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</si>
  <si>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</si>
  <si>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</si>
  <si>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</si>
  <si>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</si>
  <si>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</si>
  <si>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</si>
  <si>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</si>
  <si>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</si>
  <si>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</si>
  <si>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</si>
  <si>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</si>
  <si>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</si>
  <si>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</si>
  <si>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</si>
  <si>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</si>
  <si>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</si>
  <si>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</si>
  <si>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</si>
  <si>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</si>
  <si>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</si>
  <si>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</si>
  <si>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</si>
  <si>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</si>
  <si>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</si>
  <si>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</si>
  <si>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</si>
  <si>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</si>
  <si>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</si>
  <si>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</si>
  <si>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</si>
  <si>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</si>
  <si>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</si>
  <si>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</si>
  <si>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</si>
  <si>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</si>
  <si>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</si>
  <si>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</si>
  <si>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</si>
  <si>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</si>
  <si>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</si>
  <si>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</si>
  <si>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</si>
  <si>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</si>
  <si>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</si>
  <si>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</si>
  <si>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</si>
  <si>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</si>
  <si>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</si>
  <si>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</si>
  <si>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</si>
  <si>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</si>
  <si>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</si>
  <si>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</si>
  <si>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</si>
  <si>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</si>
  <si>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</si>
  <si>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</si>
  <si>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</si>
  <si>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</si>
  <si>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</si>
  <si>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</si>
  <si>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</si>
  <si>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</si>
  <si>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</si>
  <si>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</si>
  <si>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</si>
  <si>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</si>
  <si>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</si>
  <si>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</si>
  <si>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</si>
  <si>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</si>
  <si>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</si>
  <si>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</si>
  <si>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</si>
  <si>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</si>
  <si>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</si>
  <si>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</si>
  <si>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</si>
  <si>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</si>
  <si>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</si>
  <si>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</si>
  <si>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</si>
  <si>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</si>
  <si>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</si>
  <si>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</si>
  <si>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</si>
  <si>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</si>
  <si>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</si>
  <si>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</si>
  <si>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</si>
  <si>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</si>
  <si>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</si>
  <si>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</si>
  <si>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</si>
  <si>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</si>
  <si>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</si>
  <si>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</si>
  <si>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</si>
  <si>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</si>
  <si>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</si>
  <si>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</si>
  <si>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</si>
  <si>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</si>
  <si>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</si>
  <si>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</si>
  <si>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</si>
  <si>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</si>
  <si>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</si>
  <si>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</si>
  <si>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</si>
  <si>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</si>
  <si>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</si>
  <si>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</si>
  <si>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</si>
  <si>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</si>
  <si>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</si>
  <si>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</si>
  <si>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</si>
  <si>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</si>
  <si>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</si>
  <si>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</si>
  <si>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</si>
  <si>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</si>
  <si>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</si>
  <si>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</si>
  <si>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</si>
  <si>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</si>
  <si>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</si>
  <si>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</si>
  <si>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</si>
  <si>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</si>
  <si>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</si>
  <si>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</si>
  <si>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</si>
  <si>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</si>
  <si>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</si>
  <si>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</si>
  <si>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</si>
  <si>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</si>
  <si>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</si>
  <si>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</si>
  <si>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</si>
  <si>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</si>
  <si>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</si>
  <si>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</si>
  <si>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</si>
  <si>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</si>
  <si>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</si>
  <si>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</si>
  <si>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</si>
  <si>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</si>
  <si>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</si>
  <si>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</si>
  <si>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</si>
  <si>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</si>
  <si>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</si>
  <si>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</si>
  <si>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</si>
  <si>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</si>
  <si>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</si>
  <si>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</si>
  <si>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</si>
  <si>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</si>
  <si>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</si>
  <si>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</si>
  <si>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</si>
  <si>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</si>
  <si>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</si>
  <si>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</si>
  <si>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</si>
  <si>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</si>
  <si>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</si>
  <si>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</si>
  <si>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</si>
  <si>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</si>
  <si>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</si>
  <si>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</si>
  <si>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</si>
  <si>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</si>
  <si>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</si>
  <si>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</si>
  <si>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</si>
  <si>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</si>
  <si>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</si>
  <si>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</si>
  <si>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</si>
  <si>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</si>
  <si>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</si>
  <si>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</si>
  <si>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</si>
  <si>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</si>
  <si>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</si>
  <si>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</si>
  <si>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</si>
  <si>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</si>
  <si>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</si>
  <si>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</si>
  <si>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</si>
  <si>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</si>
  <si>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</si>
  <si>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</si>
  <si>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</si>
  <si>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</si>
  <si>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</si>
  <si>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</si>
  <si>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</si>
  <si>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</si>
  <si>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</si>
  <si>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</si>
  <si>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</si>
  <si>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</si>
  <si>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</si>
  <si>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</si>
  <si>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</si>
  <si>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</si>
  <si>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</si>
  <si>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</si>
  <si>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</si>
  <si>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</si>
  <si>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</si>
  <si>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</si>
  <si>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</si>
  <si>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</si>
  <si>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</si>
  <si>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</si>
  <si>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</si>
  <si>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</si>
  <si>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</si>
  <si>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</si>
  <si>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</si>
  <si>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</si>
  <si>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</si>
  <si>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</si>
  <si>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</si>
  <si>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</si>
  <si>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</si>
  <si>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</si>
  <si>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</si>
  <si>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</si>
  <si>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</si>
  <si>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</si>
  <si>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</si>
  <si>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</si>
  <si>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</si>
  <si>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</si>
  <si>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</si>
  <si>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</si>
  <si>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</si>
  <si>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</si>
  <si>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</si>
  <si>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</si>
  <si>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</si>
  <si>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</si>
  <si>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</si>
  <si>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</si>
  <si>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</si>
  <si>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</si>
  <si>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</si>
  <si>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</si>
  <si>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</si>
  <si>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</si>
  <si>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</si>
  <si>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</si>
  <si>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</si>
  <si>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</si>
  <si>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</si>
  <si>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</si>
  <si>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</si>
  <si>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</si>
  <si>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</si>
  <si>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</si>
  <si>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</si>
  <si>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</si>
  <si>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</si>
  <si>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</si>
  <si>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</si>
  <si>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</si>
  <si>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</si>
  <si>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</si>
  <si>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</si>
  <si>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</si>
  <si>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</si>
  <si>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</si>
  <si>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</si>
  <si>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</si>
  <si>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</si>
  <si>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</si>
  <si>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</si>
  <si>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</si>
  <si>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</si>
  <si>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</si>
  <si>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</si>
  <si>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</si>
  <si>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</si>
  <si>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</si>
  <si>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</si>
  <si>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</si>
  <si>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</si>
  <si>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</si>
  <si>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</si>
  <si>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</si>
  <si>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</si>
  <si>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</si>
  <si>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</si>
  <si>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</si>
  <si>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</si>
  <si>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</si>
  <si>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</si>
  <si>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</si>
  <si>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</si>
  <si>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</si>
  <si>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</si>
  <si>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</si>
  <si>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</si>
  <si>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</si>
  <si>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</si>
  <si>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</si>
  <si>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</si>
  <si>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</si>
  <si>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</si>
  <si>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</si>
  <si>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</si>
  <si>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</si>
  <si>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</si>
  <si>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</si>
  <si>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</si>
  <si>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</si>
  <si>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</si>
  <si>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</si>
  <si>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</si>
  <si>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</si>
  <si>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</si>
  <si>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</si>
  <si>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</si>
  <si>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</si>
  <si>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</si>
  <si>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</si>
  <si>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</si>
  <si>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</si>
  <si>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</si>
  <si>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</si>
  <si>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</si>
  <si>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</si>
  <si>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</si>
  <si>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</si>
  <si>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</si>
  <si>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</si>
  <si>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</si>
  <si>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</si>
  <si>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</si>
  <si>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</si>
  <si>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</si>
  <si>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</si>
  <si>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</si>
  <si>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</si>
  <si>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</si>
  <si>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</si>
  <si>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</si>
  <si>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</si>
  <si>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</si>
  <si>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</si>
  <si>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</si>
  <si>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</si>
  <si>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</si>
  <si>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</si>
  <si>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</si>
  <si>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</si>
  <si>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</si>
  <si>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</si>
  <si>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</si>
  <si>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</si>
  <si>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</si>
  <si>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</si>
  <si>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</si>
  <si>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</si>
  <si>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</si>
  <si>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</si>
  <si>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</si>
  <si>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</si>
  <si>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</si>
  <si>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</si>
  <si>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</si>
  <si>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</si>
  <si>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</si>
  <si>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</si>
  <si>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</si>
  <si>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</si>
  <si>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</si>
  <si>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</si>
  <si>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</si>
  <si>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</si>
  <si>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</si>
  <si>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</si>
  <si>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</si>
  <si>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</si>
  <si>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</si>
  <si>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</si>
  <si>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</si>
  <si>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</si>
  <si>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</si>
  <si>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</si>
  <si>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</si>
  <si>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</si>
  <si>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</si>
  <si>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</si>
  <si>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</si>
  <si>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</si>
  <si>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</si>
  <si>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</si>
  <si>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</si>
  <si>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</si>
  <si>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</si>
  <si>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</si>
  <si>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</si>
  <si>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</si>
  <si>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</si>
  <si>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</si>
  <si>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</si>
  <si>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</si>
  <si>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</si>
  <si>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</si>
  <si>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</si>
  <si>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</si>
  <si>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</si>
  <si>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</si>
  <si>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</si>
  <si>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</si>
  <si>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</si>
  <si>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</si>
  <si>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</si>
  <si>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</si>
  <si>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</si>
  <si>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</si>
  <si>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</si>
  <si>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</si>
  <si>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</si>
  <si>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</si>
  <si>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</si>
  <si>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</si>
  <si>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</si>
  <si>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</si>
  <si>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</si>
  <si>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</si>
  <si>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</si>
  <si>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</si>
  <si>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</si>
  <si>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</si>
  <si>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</si>
  <si>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</si>
  <si>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</si>
  <si>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</si>
  <si>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</si>
  <si>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</si>
  <si>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</si>
  <si>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</si>
  <si>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</si>
  <si>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</si>
  <si>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</si>
  <si>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</si>
  <si>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</si>
  <si>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</si>
  <si>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</si>
  <si>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</si>
  <si>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</si>
  <si>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</si>
  <si>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</si>
  <si>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</si>
  <si>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</si>
  <si>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</si>
  <si>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</si>
  <si>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</si>
  <si>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</si>
  <si>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</si>
  <si>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</si>
  <si>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</si>
  <si>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</si>
  <si>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</si>
  <si>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</si>
  <si>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</si>
  <si>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</si>
  <si>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</si>
  <si>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</si>
  <si>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</si>
  <si>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</si>
  <si>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</si>
  <si>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</si>
  <si>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</si>
  <si>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</si>
  <si>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</si>
  <si>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</si>
  <si>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</si>
  <si>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</si>
  <si>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</si>
  <si>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</si>
  <si>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</si>
  <si>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</si>
  <si>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</si>
  <si>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</si>
  <si>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</si>
  <si>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</si>
  <si>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</si>
  <si>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</si>
  <si>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</si>
  <si>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</si>
  <si>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</si>
  <si>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</si>
  <si>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</si>
  <si>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</si>
  <si>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</si>
  <si>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</si>
  <si>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</si>
  <si>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</si>
  <si>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</si>
  <si>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</si>
  <si>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</si>
  <si>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</si>
  <si>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</si>
  <si>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</si>
  <si>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</si>
  <si>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</si>
  <si>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</si>
  <si>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</si>
  <si>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</si>
  <si>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</si>
  <si>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</si>
  <si>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</si>
  <si>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</si>
  <si>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</si>
  <si>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</si>
  <si>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</si>
  <si>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</si>
  <si>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</si>
  <si>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</si>
  <si>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</si>
  <si>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</si>
  <si>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</si>
  <si>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</si>
  <si>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</si>
  <si>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</si>
  <si>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</si>
  <si>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</si>
  <si>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</si>
  <si>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</si>
  <si>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</si>
  <si>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</si>
  <si>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</si>
  <si>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</si>
  <si>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</si>
  <si>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</si>
  <si>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</si>
  <si>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</si>
  <si>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</si>
  <si>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</si>
  <si>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</si>
  <si>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</si>
  <si>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</si>
  <si>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</si>
  <si>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</si>
  <si>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</si>
  <si>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</si>
  <si>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</si>
  <si>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</si>
  <si>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</si>
  <si>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</si>
  <si>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</si>
  <si>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</si>
  <si>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</si>
  <si>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</si>
  <si>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</si>
  <si>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</si>
  <si>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</si>
  <si>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</si>
  <si>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</si>
  <si>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</si>
  <si>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</si>
  <si>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</si>
  <si>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</si>
  <si>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</si>
  <si>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</si>
  <si>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</si>
  <si>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</si>
  <si>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</si>
  <si>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</si>
  <si>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</si>
  <si>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</si>
  <si>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</si>
  <si>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</si>
  <si>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</si>
  <si>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</si>
  <si>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</si>
  <si>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</si>
  <si>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</si>
  <si>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</si>
  <si>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</si>
  <si>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</si>
  <si>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</si>
  <si>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</si>
  <si>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</si>
  <si>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</si>
  <si>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</si>
  <si>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</si>
  <si>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</si>
  <si>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</si>
  <si>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</si>
  <si>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</si>
  <si>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</si>
  <si>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</si>
  <si>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</si>
  <si>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</si>
  <si>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</si>
  <si>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</si>
  <si>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</si>
  <si>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</si>
  <si>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</si>
  <si>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</si>
  <si>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</si>
  <si>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</si>
  <si>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</si>
  <si>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</si>
  <si>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</si>
  <si>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</si>
  <si>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</si>
  <si>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</si>
  <si>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</si>
  <si>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</si>
  <si>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</si>
  <si>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</si>
  <si>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</si>
  <si>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</si>
  <si>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</si>
  <si>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</si>
  <si>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</si>
  <si>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</si>
  <si>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</si>
  <si>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</si>
  <si>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</si>
  <si>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</si>
  <si>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</si>
  <si>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</si>
  <si>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</si>
  <si>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</si>
  <si>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</si>
  <si>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</si>
  <si>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</si>
  <si>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</si>
  <si>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</si>
  <si>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</si>
  <si>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</si>
  <si>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</si>
  <si>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</si>
  <si>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</si>
  <si>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</si>
  <si>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</si>
  <si>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</si>
  <si>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</si>
  <si>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</si>
  <si>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</si>
  <si>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</si>
  <si>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</si>
  <si>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</si>
  <si>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</si>
  <si>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</si>
  <si>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</si>
  <si>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</si>
  <si>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</si>
  <si>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</si>
  <si>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</si>
  <si>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</si>
  <si>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</si>
  <si>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</si>
  <si>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</si>
  <si>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</si>
  <si>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</si>
  <si>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</si>
  <si>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</si>
  <si>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</si>
  <si>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</si>
  <si>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</si>
  <si>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</si>
  <si>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</si>
  <si>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</si>
  <si>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</si>
  <si>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</si>
  <si>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</si>
  <si>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</si>
  <si>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</si>
  <si>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</si>
  <si>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</si>
  <si>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</si>
  <si>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</si>
  <si>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</si>
  <si>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</si>
  <si>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</si>
  <si>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</si>
  <si>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</si>
  <si>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</si>
  <si>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</si>
  <si>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</si>
  <si>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</si>
  <si>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</si>
  <si>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</si>
  <si>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</si>
  <si>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</si>
  <si>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</si>
  <si>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</si>
  <si>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</si>
  <si>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</si>
  <si>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</si>
  <si>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</si>
  <si>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</si>
  <si>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</si>
  <si>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</si>
  <si>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</si>
  <si>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</si>
  <si>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</si>
  <si>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</si>
  <si>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</si>
  <si>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</si>
  <si>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</si>
  <si>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</si>
  <si>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</si>
  <si>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</si>
  <si>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</si>
  <si>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</si>
  <si>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</si>
  <si>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</si>
  <si>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</si>
  <si>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</si>
  <si>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</si>
  <si>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</si>
  <si>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</si>
  <si>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</si>
  <si>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</si>
  <si>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</si>
  <si>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</si>
  <si>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</si>
  <si>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</si>
  <si>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</si>
  <si>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</si>
  <si>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</si>
  <si>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</si>
  <si>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</si>
  <si>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</si>
  <si>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</si>
  <si>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</si>
  <si>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</si>
  <si>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</si>
  <si>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</si>
  <si>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</si>
  <si>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</si>
  <si>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</si>
  <si>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</si>
  <si>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</si>
  <si>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</si>
  <si>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</si>
  <si>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</si>
  <si>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</si>
  <si>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</si>
  <si>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</si>
  <si>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</si>
  <si>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</si>
  <si>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</si>
  <si>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</si>
  <si>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</si>
  <si>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</si>
  <si>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</si>
  <si>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</si>
  <si>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</si>
  <si>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</si>
  <si>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</si>
  <si>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</si>
  <si>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</si>
  <si>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</si>
  <si>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</si>
  <si>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</si>
  <si>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</si>
  <si>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</si>
  <si>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</si>
  <si>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</si>
  <si>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</si>
  <si>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</si>
  <si>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</si>
  <si>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</si>
  <si>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</si>
  <si>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</si>
  <si>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</si>
  <si>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</si>
  <si>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</si>
  <si>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</si>
  <si>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</si>
  <si>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</si>
  <si>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</si>
  <si>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</si>
  <si>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</si>
  <si>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</si>
  <si>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</si>
  <si>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</si>
  <si>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</si>
  <si>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</si>
  <si>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</si>
  <si>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</si>
  <si>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</si>
  <si>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</si>
  <si>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</si>
  <si>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</si>
  <si>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</si>
  <si>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</si>
  <si>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</si>
  <si>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</si>
  <si>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</si>
  <si>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</si>
  <si>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</si>
  <si>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</si>
  <si>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</si>
  <si>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</si>
  <si>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</si>
  <si>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</si>
  <si>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</si>
  <si>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</si>
  <si>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</si>
  <si>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</si>
  <si>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</si>
  <si>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</si>
  <si>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</si>
  <si>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</si>
  <si>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</si>
  <si>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</si>
  <si>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</si>
  <si>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</si>
  <si>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</si>
  <si>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</si>
  <si>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</si>
  <si>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</si>
  <si>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</si>
  <si>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</si>
  <si>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</si>
  <si>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</si>
  <si>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</si>
  <si>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</si>
  <si>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</si>
  <si>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</si>
  <si>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</si>
  <si>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</si>
  <si>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</si>
  <si>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</si>
  <si>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</si>
  <si>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</si>
  <si>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</si>
  <si>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</si>
  <si>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</si>
  <si>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</si>
  <si>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</si>
  <si>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</si>
  <si>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</si>
  <si>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</si>
  <si>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</si>
  <si>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</si>
  <si>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</si>
  <si>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</si>
  <si>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</si>
  <si>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</si>
  <si>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</si>
  <si>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</si>
  <si>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</si>
  <si>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</si>
  <si>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</si>
  <si>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</si>
  <si>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</si>
  <si>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</si>
  <si>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</si>
  <si>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</si>
  <si>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</si>
  <si>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</si>
  <si>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</si>
  <si>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</si>
  <si>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</si>
  <si>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</si>
  <si>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</si>
  <si>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</si>
  <si>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</si>
  <si>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</si>
  <si>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</si>
  <si>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</si>
  <si>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</si>
  <si>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</si>
  <si>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</si>
  <si>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</si>
  <si>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</si>
  <si>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</si>
  <si>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</si>
  <si>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</si>
  <si>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</si>
  <si>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</si>
  <si>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</si>
  <si>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</si>
  <si>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</si>
  <si>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</si>
  <si>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</si>
  <si>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</si>
  <si>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</si>
  <si>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</si>
  <si>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</si>
  <si>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</si>
  <si>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</si>
  <si>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</si>
  <si>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</si>
  <si>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</si>
  <si>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</si>
  <si>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</si>
  <si>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</si>
  <si>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</si>
  <si>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</si>
  <si>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</si>
  <si>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</si>
  <si>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</si>
  <si>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</si>
  <si>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</si>
  <si>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</si>
  <si>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</si>
  <si>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</si>
  <si>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</si>
  <si>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</si>
  <si>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</si>
  <si>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</si>
  <si>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</si>
  <si>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</si>
  <si>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</si>
  <si>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</si>
  <si>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</si>
  <si>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</si>
  <si>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</si>
  <si>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</si>
  <si>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</si>
  <si>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</si>
  <si>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</si>
  <si>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</si>
  <si>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</si>
  <si>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</si>
  <si>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</si>
  <si>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</si>
  <si>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</si>
  <si>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</si>
  <si>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</si>
  <si>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</si>
  <si>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</si>
  <si>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</si>
  <si>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</si>
  <si>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</si>
  <si>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</si>
  <si>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</si>
  <si>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</si>
  <si>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</si>
  <si>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</si>
  <si>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</si>
  <si>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</si>
  <si>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</si>
  <si>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</si>
  <si>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</si>
  <si>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</si>
  <si>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</si>
  <si>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</si>
  <si>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</si>
  <si>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</si>
  <si>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</si>
  <si>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</si>
  <si>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</si>
  <si>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</si>
  <si>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</si>
  <si>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</si>
  <si>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</si>
  <si>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</si>
  <si>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</si>
  <si>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</si>
  <si>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</si>
  <si>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</si>
  <si>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</si>
  <si>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</si>
  <si>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</si>
  <si>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</si>
  <si>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</si>
  <si>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</si>
  <si>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</si>
  <si>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</si>
  <si>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</si>
  <si>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</si>
  <si>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</si>
  <si>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</si>
  <si>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</si>
  <si>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</si>
  <si>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</si>
  <si>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</si>
  <si>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</si>
  <si>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</si>
  <si>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</si>
  <si>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</si>
  <si>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</si>
  <si>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</si>
  <si>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</si>
  <si>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</si>
  <si>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</si>
  <si>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</si>
  <si>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</si>
  <si>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</si>
  <si>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</si>
  <si>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</si>
  <si>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</si>
  <si>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</si>
  <si>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</si>
  <si>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</si>
  <si>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</si>
  <si>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</si>
  <si>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</si>
  <si>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</si>
  <si>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</si>
  <si>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</si>
  <si>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</si>
  <si>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</si>
  <si>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</si>
  <si>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</si>
  <si>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</si>
  <si>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</si>
  <si>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</si>
  <si>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</si>
  <si>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</si>
  <si>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</si>
  <si>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</si>
  <si>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</si>
  <si>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</si>
  <si>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</si>
  <si>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</si>
  <si>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</si>
  <si>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</si>
  <si>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</si>
  <si>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</si>
  <si>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</si>
  <si>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</si>
  <si>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</si>
  <si>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</si>
  <si>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</si>
  <si>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</si>
  <si>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</si>
  <si>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</si>
  <si>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</si>
  <si>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</si>
  <si>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</si>
  <si>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</si>
  <si>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</si>
  <si>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</si>
  <si>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</si>
  <si>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</si>
  <si>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</si>
  <si>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</si>
  <si>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</si>
  <si>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</si>
  <si>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</si>
  <si>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</si>
  <si>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</si>
  <si>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</si>
  <si>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</si>
  <si>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</si>
  <si>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</si>
  <si>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</si>
  <si>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</si>
  <si>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</si>
  <si>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</si>
  <si>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</si>
  <si>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</si>
  <si>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</si>
  <si>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</si>
  <si>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</si>
  <si>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</si>
  <si>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</si>
  <si>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</si>
  <si>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</si>
  <si>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</si>
  <si>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</si>
  <si>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</si>
  <si>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</si>
  <si>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</si>
  <si>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</si>
  <si>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</si>
  <si>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</si>
  <si>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</si>
  <si>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</si>
  <si>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</si>
  <si>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</si>
  <si>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</si>
  <si>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</si>
  <si>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</si>
  <si>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</si>
  <si>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</si>
  <si>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</si>
  <si>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</si>
  <si>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</si>
  <si>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</si>
  <si>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</si>
  <si>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</si>
  <si>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</si>
  <si>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</si>
  <si>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</si>
  <si>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</si>
  <si>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</si>
  <si>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</si>
  <si>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</si>
  <si>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</si>
  <si>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</si>
  <si>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</si>
  <si>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</si>
  <si>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</si>
  <si>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</si>
  <si>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</si>
  <si>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</si>
  <si>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</si>
  <si>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</si>
  <si>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</si>
  <si>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</si>
  <si>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</si>
  <si>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</si>
  <si>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</si>
  <si>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</si>
  <si>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</si>
  <si>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</si>
  <si>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</si>
  <si>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</si>
  <si>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</si>
  <si>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</si>
  <si>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</si>
  <si>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</si>
  <si>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</si>
  <si>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</si>
  <si>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</si>
  <si>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</si>
  <si>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</si>
  <si>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</si>
  <si>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</si>
  <si>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</si>
  <si>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</si>
  <si>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</si>
  <si>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</si>
  <si>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</si>
  <si>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</si>
  <si>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</si>
  <si>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</si>
  <si>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</si>
  <si>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</si>
  <si>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</si>
  <si>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</si>
  <si>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</si>
  <si>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</si>
  <si>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</si>
  <si>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</si>
  <si>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</si>
  <si>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</si>
  <si>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</si>
  <si>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</si>
  <si>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</si>
  <si>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</si>
  <si>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</si>
  <si>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</si>
  <si>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</si>
  <si>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</si>
  <si>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</si>
  <si>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</si>
  <si>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</si>
  <si>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</si>
  <si>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</si>
  <si>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</si>
  <si>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</si>
  <si>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</si>
  <si>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</si>
  <si>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</si>
  <si>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</si>
  <si>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</si>
  <si>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</si>
  <si>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</si>
  <si>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</si>
  <si>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</si>
  <si>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</si>
  <si>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</si>
  <si>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</si>
  <si>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</si>
  <si>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</si>
  <si>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</si>
  <si>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</si>
  <si>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</si>
  <si>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</si>
  <si>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</si>
  <si>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</si>
  <si>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</si>
  <si>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</si>
  <si>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</si>
  <si>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</si>
  <si>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</si>
  <si>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</si>
  <si>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</si>
  <si>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</si>
  <si>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</si>
  <si>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</si>
  <si>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</si>
  <si>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</si>
  <si>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</si>
  <si>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</si>
  <si>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</si>
  <si>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</si>
  <si>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</si>
  <si>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</si>
  <si>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</si>
  <si>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</si>
  <si>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</si>
  <si>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</si>
  <si>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</si>
  <si>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</si>
  <si>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</si>
  <si>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</si>
  <si>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</si>
  <si>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</si>
  <si>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</si>
  <si>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</si>
  <si>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</si>
  <si>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</si>
  <si>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</si>
  <si>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</si>
  <si>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</si>
  <si>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</si>
  <si>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</si>
  <si>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</si>
  <si>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</si>
  <si>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</si>
  <si>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</si>
  <si>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</si>
  <si>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</si>
  <si>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</si>
  <si>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</si>
  <si>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</si>
  <si>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</si>
  <si>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</si>
  <si>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</si>
  <si>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</si>
  <si>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</si>
  <si>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</si>
  <si>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</si>
  <si>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</si>
  <si>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</si>
  <si>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</si>
  <si>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</si>
  <si>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</si>
  <si>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</si>
  <si>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</si>
  <si>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</si>
  <si>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</si>
  <si>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</si>
  <si>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</si>
  <si>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</si>
  <si>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</si>
  <si>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</si>
  <si>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</si>
  <si>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</si>
  <si>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</si>
  <si>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</si>
  <si>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</si>
  <si>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</si>
  <si>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</si>
  <si>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</si>
  <si>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</si>
  <si>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</si>
  <si>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</si>
  <si>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</si>
  <si>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</si>
  <si>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</si>
  <si>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</si>
  <si>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</si>
  <si>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</si>
  <si>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</si>
  <si>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</si>
  <si>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</si>
  <si>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</si>
  <si>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</si>
  <si>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</si>
  <si>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</si>
  <si>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</si>
  <si>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</si>
  <si>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</si>
  <si>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</si>
  <si>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</si>
  <si>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</si>
  <si>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</si>
  <si>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</si>
  <si>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</si>
  <si>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</si>
  <si>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</si>
  <si>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</si>
  <si>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</si>
  <si>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</si>
  <si>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</si>
  <si>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</si>
  <si>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</si>
  <si>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</si>
  <si>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</si>
  <si>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</si>
  <si>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</si>
  <si>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</si>
  <si>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</si>
  <si>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</si>
  <si>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</si>
  <si>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</si>
  <si>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</si>
  <si>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</si>
  <si>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</si>
  <si>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</si>
  <si>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</si>
  <si>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</si>
  <si>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</si>
  <si>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</si>
  <si>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</si>
  <si>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</si>
  <si>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</si>
  <si>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</si>
  <si>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</si>
  <si>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</si>
  <si>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</si>
  <si>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</si>
  <si>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</si>
  <si>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</si>
  <si>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</si>
  <si>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</si>
  <si>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</si>
  <si>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</si>
  <si>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</si>
  <si>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</si>
  <si>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</si>
  <si>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</si>
  <si>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</si>
  <si>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</si>
  <si>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</si>
  <si>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</si>
  <si>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</si>
  <si>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</si>
  <si>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</si>
  <si>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</si>
  <si>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</si>
  <si>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</si>
  <si>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</si>
  <si>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</si>
  <si>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</si>
  <si>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</si>
  <si>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</si>
  <si>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</si>
  <si>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</si>
  <si>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</si>
  <si>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</si>
  <si>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</si>
  <si>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</si>
  <si>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</si>
  <si>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</si>
  <si>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</si>
  <si>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</si>
  <si>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</si>
  <si>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</si>
  <si>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</si>
  <si>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</si>
  <si>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</si>
  <si>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</si>
  <si>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</si>
  <si>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</si>
  <si>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</si>
  <si>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</si>
  <si>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</si>
  <si>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</si>
  <si>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</si>
  <si>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</si>
  <si>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</si>
  <si>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</si>
  <si>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</si>
  <si>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</si>
  <si>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</si>
  <si>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</si>
  <si>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</si>
  <si>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</si>
  <si>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</si>
  <si>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</si>
  <si>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</si>
  <si>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</si>
  <si>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</si>
  <si>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</si>
  <si>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</si>
  <si>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</si>
  <si>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</si>
  <si>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</si>
  <si>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</si>
  <si>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</si>
  <si>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</si>
  <si>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</si>
  <si>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</si>
  <si>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</si>
  <si>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</si>
  <si>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</si>
  <si>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</si>
  <si>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</si>
  <si>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</si>
  <si>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</si>
  <si>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</si>
  <si>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</si>
  <si>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</si>
  <si>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</si>
  <si>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</si>
  <si>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</si>
  <si>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</si>
  <si>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</si>
  <si>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</si>
  <si>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</si>
  <si>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</si>
  <si>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</si>
  <si>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</si>
  <si>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</si>
  <si>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</si>
  <si>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</si>
  <si>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</si>
  <si>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</si>
  <si>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</si>
  <si>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</si>
  <si>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</si>
  <si>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</si>
  <si>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</si>
  <si>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</si>
  <si>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</si>
  <si>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</si>
  <si>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</si>
  <si>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</si>
  <si>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</si>
  <si>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</si>
  <si>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</si>
  <si>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</si>
  <si>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</si>
  <si>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</si>
  <si>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</si>
  <si>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</si>
  <si>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</si>
  <si>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</si>
  <si>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</si>
  <si>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</si>
  <si>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</si>
  <si>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</si>
  <si>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</si>
  <si>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</si>
  <si>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</si>
  <si>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</si>
  <si>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</si>
  <si>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</si>
  <si>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</si>
  <si>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</si>
  <si>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</si>
  <si>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</si>
  <si>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</si>
  <si>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</si>
  <si>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</si>
  <si>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</si>
  <si>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</si>
  <si>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</si>
  <si>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</si>
  <si>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</si>
  <si>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</si>
  <si>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</si>
  <si>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</si>
  <si>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</si>
  <si>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</si>
  <si>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</si>
  <si>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</si>
  <si>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</si>
  <si>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</si>
  <si>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</si>
  <si>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</si>
  <si>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</si>
  <si>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</si>
  <si>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</si>
  <si>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</si>
  <si>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</si>
  <si>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</si>
  <si>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</si>
  <si>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</si>
  <si>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</si>
  <si>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</si>
  <si>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</si>
  <si>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</si>
  <si>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</si>
  <si>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</si>
  <si>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</si>
  <si>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</si>
  <si>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</si>
  <si>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</si>
  <si>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</si>
  <si>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</si>
  <si>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</si>
  <si>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</si>
  <si>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</si>
  <si>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</si>
  <si>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</si>
  <si>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</si>
  <si>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</si>
  <si>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</si>
  <si>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</si>
  <si>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</si>
  <si>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</si>
  <si>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</si>
  <si>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</si>
  <si>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</si>
  <si>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</si>
  <si>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</si>
  <si>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</si>
  <si>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</si>
  <si>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</si>
  <si>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</si>
  <si>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</si>
  <si>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</si>
  <si>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</si>
  <si>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</si>
  <si>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</si>
  <si>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</si>
  <si>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</si>
  <si>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</si>
  <si>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</si>
  <si>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</si>
  <si>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</si>
  <si>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</si>
  <si>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</si>
  <si>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</si>
  <si>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</si>
  <si>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</si>
  <si>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</si>
  <si>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</si>
  <si>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</si>
  <si>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</si>
  <si>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</si>
  <si>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</si>
  <si>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</si>
  <si>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</si>
  <si>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</si>
  <si>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</si>
  <si>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</si>
  <si>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</si>
  <si>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</si>
  <si>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</si>
  <si>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</si>
  <si>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</si>
  <si>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</si>
  <si>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</si>
  <si>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</si>
  <si>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</si>
  <si>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</si>
  <si>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</si>
  <si>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</si>
  <si>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</si>
  <si>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</si>
  <si>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</si>
  <si>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</si>
  <si>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</si>
  <si>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</si>
  <si>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</si>
  <si>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</si>
  <si>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</si>
  <si>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</si>
  <si>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</si>
  <si>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</si>
  <si>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</si>
  <si>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</si>
  <si>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</si>
  <si>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</si>
  <si>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</si>
  <si>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</si>
  <si>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</si>
  <si>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</si>
  <si>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</si>
  <si>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</si>
  <si>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</si>
  <si>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</si>
  <si>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</si>
  <si>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</si>
  <si>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</si>
  <si>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</si>
  <si>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</si>
  <si>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</si>
  <si>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</si>
  <si>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</si>
  <si>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</si>
  <si>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</si>
  <si>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</si>
  <si>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</si>
  <si>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</si>
  <si>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</si>
  <si>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</si>
  <si>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</si>
  <si>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</si>
  <si>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</si>
  <si>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</si>
  <si>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</si>
  <si>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</si>
  <si>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</si>
  <si>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</si>
  <si>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</si>
  <si>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</si>
  <si>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</si>
  <si>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</si>
  <si>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</si>
  <si>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</si>
  <si>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</si>
  <si>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</si>
  <si>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</si>
  <si>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</si>
  <si>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</si>
  <si>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</si>
  <si>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</si>
  <si>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</si>
  <si>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</si>
  <si>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</si>
  <si>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</si>
  <si>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</si>
  <si>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</si>
  <si>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</si>
  <si>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</si>
  <si>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</si>
  <si>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</si>
  <si>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</si>
  <si>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</si>
  <si>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</si>
  <si>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</si>
  <si>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</si>
  <si>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</si>
  <si>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</si>
  <si>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</si>
  <si>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</si>
  <si>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</si>
  <si>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</si>
  <si>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</si>
  <si>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</si>
  <si>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</si>
  <si>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</si>
  <si>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</si>
  <si>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</si>
  <si>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</si>
  <si>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</si>
  <si>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</si>
  <si>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</si>
  <si>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</si>
  <si>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</si>
  <si>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</si>
  <si>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</si>
  <si>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</si>
  <si>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</si>
  <si>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</si>
  <si>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</si>
  <si>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</si>
  <si>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</si>
  <si>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</si>
  <si>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</si>
  <si>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</si>
  <si>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</si>
  <si>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</si>
  <si>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</si>
  <si>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</si>
  <si>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</si>
  <si>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</si>
  <si>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</si>
  <si>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</si>
  <si>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</si>
  <si>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</si>
  <si>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</si>
  <si>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</si>
  <si>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</si>
  <si>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</si>
  <si>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</si>
  <si>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</si>
  <si>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</si>
  <si>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</si>
  <si>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</si>
  <si>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</si>
  <si>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</si>
  <si>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</si>
  <si>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</si>
  <si>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</si>
  <si>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</si>
  <si>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</si>
  <si>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</si>
  <si>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</si>
  <si>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</si>
  <si>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</si>
  <si>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</si>
  <si>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</si>
  <si>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</si>
  <si>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</si>
  <si>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</si>
  <si>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</si>
  <si>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</si>
  <si>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</si>
  <si>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</si>
  <si>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</si>
  <si>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</si>
  <si>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</si>
  <si>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</si>
  <si>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</si>
  <si>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</si>
  <si>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</si>
  <si>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</si>
  <si>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</si>
  <si>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</si>
  <si>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</si>
  <si>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</si>
  <si>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</si>
  <si>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</si>
  <si>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</si>
  <si>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</si>
  <si>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</si>
  <si>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</si>
  <si>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</si>
  <si>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</si>
  <si>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</si>
  <si>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</si>
  <si>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</si>
  <si>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</si>
  <si>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</si>
  <si>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</si>
  <si>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</si>
  <si>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</si>
  <si>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</si>
  <si>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</si>
  <si>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</si>
  <si>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</si>
  <si>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</si>
  <si>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</si>
  <si>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</si>
  <si>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</si>
  <si>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</si>
  <si>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</si>
  <si>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</si>
  <si>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</si>
  <si>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</si>
  <si>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</si>
  <si>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</si>
  <si>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</si>
  <si>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</si>
  <si>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</si>
  <si>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</si>
  <si>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</si>
  <si>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</si>
  <si>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</si>
  <si>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</si>
  <si>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</si>
  <si>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</si>
  <si>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</si>
  <si>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</si>
  <si>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</si>
  <si>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</si>
  <si>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</si>
  <si>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</si>
  <si>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</si>
  <si>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</si>
  <si>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</si>
  <si>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</si>
  <si>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</si>
  <si>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</si>
  <si>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</si>
  <si>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</si>
  <si>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</si>
  <si>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</si>
  <si>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</si>
  <si>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</si>
  <si>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</si>
  <si>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</si>
  <si>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</si>
  <si>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</si>
  <si>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</si>
  <si>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</si>
  <si>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</si>
  <si>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</si>
  <si>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</si>
  <si>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</si>
  <si>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</si>
  <si>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</si>
  <si>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</si>
  <si>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</si>
  <si>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</si>
  <si>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</si>
  <si>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</si>
  <si>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</si>
  <si>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</si>
  <si>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</si>
  <si>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</si>
  <si>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</si>
  <si>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</si>
  <si>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</si>
  <si>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</si>
  <si>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</si>
  <si>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</si>
  <si>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</si>
  <si>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</si>
  <si>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</si>
  <si>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</si>
  <si>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</si>
  <si>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</si>
  <si>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</si>
  <si>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</si>
  <si>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</si>
  <si>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</si>
  <si>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</si>
  <si>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</si>
  <si>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</si>
  <si>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</si>
  <si>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</si>
  <si>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</si>
  <si>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</si>
  <si>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</si>
  <si>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</si>
  <si>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</si>
  <si>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</si>
  <si>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</si>
  <si>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</si>
  <si>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</si>
  <si>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</si>
  <si>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</si>
  <si>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</si>
  <si>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</si>
  <si>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</si>
  <si>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</si>
  <si>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</si>
  <si>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</si>
  <si>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</si>
  <si>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</si>
  <si>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</si>
  <si>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</si>
  <si>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</si>
  <si>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</si>
  <si>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</si>
  <si>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</si>
  <si>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</si>
  <si>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</si>
  <si>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</si>
  <si>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</si>
  <si>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</si>
  <si>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</si>
  <si>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</si>
  <si>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</si>
  <si>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</si>
  <si>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</si>
  <si>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</si>
  <si>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</si>
  <si>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</si>
  <si>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</si>
  <si>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</si>
  <si>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</si>
  <si>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</si>
  <si>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</si>
  <si>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</si>
  <si>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</si>
  <si>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</si>
  <si>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</si>
  <si>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</si>
  <si>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</si>
  <si>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</si>
  <si>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</si>
  <si>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</si>
  <si>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</si>
  <si>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</si>
  <si>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</si>
  <si>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</si>
  <si>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</si>
  <si>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</si>
  <si>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</si>
  <si>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</si>
  <si>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</si>
  <si>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</si>
  <si>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</si>
  <si>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</si>
  <si>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</si>
  <si>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</si>
  <si>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</si>
  <si>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</si>
  <si>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</si>
  <si>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</si>
  <si>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</si>
  <si>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</si>
  <si>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</si>
  <si>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</si>
  <si>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</si>
  <si>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</si>
  <si>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</si>
  <si>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</si>
  <si>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</si>
  <si>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</si>
  <si>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</si>
  <si>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</si>
  <si>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</si>
  <si>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</si>
  <si>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</si>
  <si>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</si>
  <si>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</si>
  <si>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</si>
  <si>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</si>
  <si>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</si>
  <si>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</si>
  <si>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</si>
  <si>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</si>
  <si>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</si>
  <si>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</si>
  <si>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</si>
  <si>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</si>
  <si>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</si>
  <si>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</si>
  <si>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</si>
  <si>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</si>
  <si>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</si>
  <si>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</si>
  <si>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</si>
  <si>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</si>
  <si>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</si>
  <si>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</si>
  <si>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</si>
  <si>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</si>
  <si>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</si>
  <si>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</si>
  <si>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</si>
  <si>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</si>
  <si>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</si>
  <si>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</si>
  <si>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</si>
  <si>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</si>
  <si>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</si>
  <si>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</si>
  <si>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</si>
  <si>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</si>
  <si>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</si>
  <si>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</si>
  <si>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</si>
  <si>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</si>
  <si>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</si>
  <si>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</si>
  <si>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</si>
  <si>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</si>
  <si>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</si>
  <si>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</si>
  <si>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</si>
  <si>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</si>
  <si>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</si>
  <si>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</si>
  <si>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</si>
  <si>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</si>
  <si>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</si>
  <si>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</si>
  <si>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</si>
  <si>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</si>
  <si>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</si>
  <si>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</si>
  <si>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</si>
  <si>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</si>
  <si>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</si>
  <si>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</si>
  <si>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</si>
  <si>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</si>
  <si>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</si>
  <si>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</si>
  <si>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</si>
  <si>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</si>
  <si>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</si>
  <si>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</si>
  <si>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</si>
  <si>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</si>
  <si>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</si>
  <si>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</si>
  <si>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</si>
  <si>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</si>
  <si>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</si>
  <si>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</si>
  <si>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</si>
  <si>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</si>
  <si>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</si>
  <si>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</si>
  <si>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</si>
  <si>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</si>
  <si>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</si>
  <si>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</si>
  <si>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</si>
  <si>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</si>
  <si>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</si>
  <si>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</si>
  <si>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</si>
  <si>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</si>
  <si>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</si>
  <si>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</si>
  <si>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</si>
  <si>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</si>
  <si>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</si>
  <si>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</si>
  <si>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</si>
  <si>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</si>
  <si>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</si>
  <si>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</si>
  <si>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</si>
  <si>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</si>
  <si>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</si>
  <si>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</si>
  <si>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</si>
  <si>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</si>
  <si>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</si>
  <si>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</si>
  <si>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</si>
  <si>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</si>
  <si>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</si>
  <si>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</si>
  <si>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</si>
  <si>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</si>
  <si>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</si>
  <si>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</si>
  <si>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</si>
  <si>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</si>
  <si>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</si>
  <si>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</si>
  <si>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</si>
  <si>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</si>
  <si>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</si>
  <si>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</si>
  <si>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</si>
  <si>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</si>
  <si>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</si>
  <si>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</si>
  <si>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</si>
  <si>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</si>
  <si>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</si>
  <si>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</si>
  <si>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</si>
  <si>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</si>
  <si>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</si>
  <si>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</si>
  <si>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</si>
  <si>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</si>
  <si>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</si>
  <si>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</si>
  <si>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</si>
  <si>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</si>
  <si>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</si>
  <si>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</si>
  <si>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</si>
  <si>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</si>
  <si>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</si>
  <si>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</si>
  <si>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</si>
  <si>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</si>
  <si>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</si>
  <si>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</si>
  <si>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</si>
  <si>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</si>
  <si>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</si>
  <si>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</si>
  <si>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</si>
  <si>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</si>
  <si>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</si>
  <si>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</si>
  <si>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</si>
  <si>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</si>
  <si>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</si>
  <si>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</si>
  <si>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</si>
  <si>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</si>
  <si>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</si>
  <si>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</si>
  <si>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</si>
  <si>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</si>
  <si>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</si>
  <si>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</si>
  <si>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</si>
  <si>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</si>
  <si>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</si>
  <si>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</si>
  <si>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</si>
  <si>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</si>
  <si>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</si>
  <si>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</si>
  <si>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</si>
  <si>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</si>
  <si>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</si>
  <si>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</si>
  <si>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</si>
  <si>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</si>
  <si>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</si>
  <si>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</si>
  <si>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</si>
  <si>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</si>
  <si>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</si>
  <si>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</si>
  <si>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</si>
  <si>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</si>
  <si>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</si>
  <si>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</si>
  <si>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</si>
  <si>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</si>
  <si>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</si>
  <si>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</si>
  <si>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</si>
  <si>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</si>
  <si>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</si>
  <si>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</si>
  <si>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</si>
  <si>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</si>
  <si>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</si>
  <si>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</si>
  <si>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</si>
  <si>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</si>
  <si>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</si>
  <si>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</si>
  <si>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</si>
  <si>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</si>
  <si>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</si>
  <si>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</si>
  <si>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</si>
  <si>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</si>
  <si>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</si>
  <si>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</si>
  <si>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</si>
  <si>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</si>
  <si>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</si>
  <si>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</si>
  <si>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</si>
  <si>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</si>
  <si>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</si>
  <si>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</si>
  <si>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</si>
  <si>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</si>
  <si>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</si>
  <si>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</si>
  <si>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</si>
  <si>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</si>
  <si>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</si>
  <si>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</si>
  <si>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</si>
  <si>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</si>
  <si>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</si>
  <si>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</si>
  <si>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</si>
  <si>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</si>
  <si>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</si>
  <si>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</si>
  <si>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</si>
  <si>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</si>
  <si>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</si>
  <si>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</si>
  <si>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</si>
  <si>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</si>
  <si>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</si>
  <si>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</si>
  <si>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</si>
  <si>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</si>
  <si>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</si>
  <si>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</si>
  <si>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</si>
  <si>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</si>
  <si>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</si>
  <si>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</si>
  <si>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</si>
  <si>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</si>
  <si>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</si>
  <si>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</si>
  <si>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</si>
  <si>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</si>
  <si>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</si>
  <si>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</si>
  <si>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</si>
  <si>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</si>
  <si>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</si>
  <si>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</si>
  <si>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</si>
  <si>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</si>
  <si>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</si>
  <si>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</si>
  <si>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</si>
  <si>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</si>
  <si>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</si>
  <si>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</si>
  <si>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</si>
  <si>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</si>
  <si>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</si>
  <si>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</si>
  <si>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</si>
  <si>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</si>
  <si>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</si>
  <si>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</si>
  <si>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</si>
  <si>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</si>
  <si>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</si>
  <si>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</si>
  <si>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</si>
  <si>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</si>
  <si>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</si>
  <si>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</si>
  <si>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</si>
  <si>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</si>
  <si>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</si>
  <si>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</si>
  <si>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</si>
  <si>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</si>
  <si>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</si>
  <si>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</si>
  <si>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</si>
  <si>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</si>
  <si>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</si>
  <si>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</si>
  <si>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</si>
  <si>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</si>
  <si>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</si>
  <si>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</si>
  <si>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</si>
  <si>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</si>
  <si>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</si>
  <si>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</si>
  <si>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</si>
  <si>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</si>
  <si>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</si>
  <si>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</si>
  <si>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</si>
  <si>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</si>
  <si>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</si>
  <si>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</si>
  <si>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</si>
  <si>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</si>
  <si>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</si>
  <si>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</si>
  <si>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</si>
  <si>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</si>
  <si>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</si>
  <si>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</si>
  <si>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</si>
  <si>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</si>
  <si>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</si>
  <si>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</si>
  <si>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</si>
  <si>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</si>
  <si>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</si>
  <si>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</si>
  <si>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</si>
  <si>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</si>
  <si>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</si>
  <si>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</si>
  <si>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</si>
  <si>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</si>
  <si>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</si>
  <si>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</si>
  <si>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</si>
  <si>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</si>
  <si>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</si>
  <si>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</si>
  <si>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</si>
  <si>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</si>
  <si>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</si>
  <si>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</si>
  <si>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</si>
  <si>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</si>
  <si>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</si>
  <si>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</si>
  <si>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</si>
  <si>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</si>
  <si>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</si>
  <si>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</si>
  <si>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</si>
  <si>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</si>
  <si>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</si>
  <si>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</si>
  <si>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</si>
  <si>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</si>
  <si>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</si>
  <si>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</si>
  <si>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</si>
  <si>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</si>
  <si>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</si>
  <si>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</si>
  <si>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</si>
  <si>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</si>
  <si>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</si>
  <si>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</si>
  <si>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</si>
  <si>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</si>
  <si>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</si>
  <si>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</si>
  <si>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</si>
  <si>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</si>
  <si>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</si>
  <si>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</si>
  <si>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</si>
  <si>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</si>
  <si>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</si>
  <si>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</si>
  <si>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</si>
  <si>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</si>
  <si>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</si>
  <si>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</si>
  <si>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</si>
  <si>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</si>
  <si>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</si>
  <si>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</si>
  <si>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</si>
  <si>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</si>
  <si>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</si>
  <si>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</si>
  <si>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</si>
  <si>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</si>
  <si>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</si>
  <si>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</si>
  <si>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</si>
  <si>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</si>
  <si>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</si>
  <si>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</si>
  <si>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</si>
  <si>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</si>
  <si>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</si>
  <si>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</si>
  <si>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</si>
  <si>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</si>
  <si>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</si>
  <si>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</si>
  <si>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</si>
  <si>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</si>
  <si>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</si>
  <si>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</si>
  <si>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</si>
  <si>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</si>
  <si>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</si>
  <si>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</si>
  <si>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</si>
  <si>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</si>
  <si>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</si>
  <si>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</si>
  <si>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</si>
  <si>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</si>
  <si>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</si>
  <si>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</si>
  <si>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</si>
  <si>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</si>
  <si>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</si>
  <si>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</si>
  <si>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</si>
  <si>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</si>
  <si>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</si>
  <si>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</si>
  <si>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</si>
  <si>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</si>
  <si>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</si>
  <si>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</si>
  <si>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</si>
  <si>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</si>
  <si>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</si>
  <si>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</si>
  <si>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</si>
  <si>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</si>
  <si>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</si>
  <si>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</si>
  <si>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</si>
  <si>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</si>
  <si>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</si>
  <si>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</si>
  <si>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</si>
  <si>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</si>
  <si>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</si>
  <si>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</si>
  <si>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</si>
  <si>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</si>
  <si>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</si>
  <si>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</si>
  <si>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</si>
  <si>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</si>
  <si>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</si>
  <si>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</si>
  <si>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</si>
  <si>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</si>
  <si>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</si>
  <si>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</si>
  <si>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</si>
  <si>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</si>
  <si>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</si>
  <si>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</si>
  <si>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</si>
  <si>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</si>
  <si>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</si>
  <si>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</si>
  <si>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</si>
  <si>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</si>
  <si>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</si>
  <si>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</si>
  <si>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</si>
  <si>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</si>
  <si>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</si>
  <si>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</si>
  <si>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</si>
  <si>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</si>
  <si>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</si>
  <si>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</si>
  <si>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</si>
  <si>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</si>
  <si>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</si>
  <si>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</si>
  <si>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</si>
  <si>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</si>
  <si>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</si>
  <si>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</si>
  <si>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</si>
  <si>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</si>
  <si>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</si>
  <si>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</si>
  <si>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</si>
  <si>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</si>
  <si>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</si>
  <si>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</si>
  <si>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</si>
  <si>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</si>
  <si>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</si>
  <si>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</si>
  <si>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</si>
  <si>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</si>
  <si>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</si>
  <si>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</si>
  <si>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</si>
  <si>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</si>
  <si>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</si>
  <si>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</si>
  <si>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</si>
  <si>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</si>
  <si>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</si>
  <si>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</si>
  <si>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</si>
  <si>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</si>
  <si>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</si>
  <si>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</si>
  <si>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</si>
  <si>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</si>
  <si>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</si>
  <si>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</si>
  <si>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</si>
  <si>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</si>
  <si>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</si>
  <si>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</si>
  <si>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</si>
  <si>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</si>
  <si>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</si>
  <si>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</si>
  <si>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</si>
  <si>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</si>
  <si>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</si>
  <si>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</si>
  <si>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</si>
  <si>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</si>
  <si>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</si>
  <si>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</si>
  <si>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</si>
  <si>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</si>
  <si>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</si>
  <si>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</si>
  <si>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</si>
  <si>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</si>
  <si>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</si>
  <si>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</si>
  <si>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</si>
  <si>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</si>
  <si>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</si>
  <si>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</si>
  <si>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</si>
  <si>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</si>
  <si>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</si>
  <si>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</si>
  <si>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</si>
  <si>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</si>
  <si>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</si>
  <si>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</si>
  <si>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</si>
  <si>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</si>
  <si>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</si>
  <si>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</si>
  <si>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</si>
  <si>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</si>
  <si>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</si>
  <si>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</si>
  <si>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</si>
  <si>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</si>
  <si>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</si>
  <si>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</si>
  <si>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</si>
  <si>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</si>
  <si>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</si>
  <si>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</si>
  <si>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</si>
  <si>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</si>
  <si>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</si>
  <si>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</si>
  <si>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</si>
  <si>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</si>
  <si>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</si>
  <si>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</si>
  <si>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</si>
  <si>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</si>
  <si>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</si>
  <si>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</si>
  <si>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</si>
  <si>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</si>
  <si>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</si>
  <si>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</si>
  <si>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</si>
  <si>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</si>
  <si>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</si>
  <si>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</si>
  <si>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</si>
  <si>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</si>
  <si>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</si>
  <si>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</si>
  <si>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</si>
  <si>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</si>
  <si>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</si>
  <si>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</si>
  <si>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</si>
  <si>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</si>
  <si>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</si>
  <si>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</si>
  <si>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</si>
  <si>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</si>
  <si>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</si>
  <si>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</si>
  <si>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</si>
  <si>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</si>
  <si>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</si>
  <si>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</si>
  <si>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</si>
  <si>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</si>
  <si>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</si>
  <si>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</si>
  <si>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</si>
  <si>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</si>
  <si>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</si>
  <si>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</si>
  <si>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</si>
  <si>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</si>
  <si>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</si>
  <si>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</si>
  <si>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</si>
  <si>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</si>
  <si>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</si>
  <si>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</si>
  <si>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</si>
  <si>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</si>
  <si>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</si>
  <si>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</si>
  <si>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</si>
  <si>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</si>
  <si>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</si>
  <si>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</si>
  <si>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</si>
  <si>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</si>
  <si>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</si>
  <si>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</si>
  <si>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</si>
  <si>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</si>
  <si>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</si>
  <si>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</si>
  <si>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</si>
  <si>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</si>
  <si>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</si>
  <si>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</si>
  <si>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</si>
  <si>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</si>
  <si>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</si>
  <si>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</si>
  <si>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</si>
  <si>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</si>
  <si>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</si>
  <si>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</si>
  <si>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</si>
  <si>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</si>
  <si>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</si>
  <si>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</si>
  <si>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</si>
  <si>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</si>
  <si>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</si>
  <si>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</si>
  <si>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</si>
  <si>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</si>
  <si>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</si>
  <si>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</si>
  <si>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</si>
  <si>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</si>
  <si>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</si>
  <si>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</si>
  <si>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</si>
  <si>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</si>
  <si>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</si>
  <si>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</si>
  <si>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</si>
  <si>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</si>
  <si>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</si>
  <si>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</si>
  <si>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</si>
  <si>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</si>
  <si>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</si>
  <si>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</si>
  <si>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</si>
  <si>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</si>
  <si>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</si>
  <si>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</si>
  <si>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</si>
  <si>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</si>
  <si>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</si>
  <si>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</si>
  <si>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</si>
  <si>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</si>
  <si>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</si>
  <si>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</si>
  <si>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</si>
  <si>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</si>
  <si>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</si>
  <si>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</si>
  <si>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</si>
  <si>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</si>
  <si>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</si>
  <si>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</si>
  <si>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</si>
  <si>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</si>
  <si>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</si>
  <si>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</si>
  <si>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</si>
  <si>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</si>
  <si>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</si>
  <si>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</si>
  <si>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</si>
  <si>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</si>
  <si>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</si>
  <si>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</si>
  <si>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</si>
  <si>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</si>
  <si>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</si>
  <si>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</si>
  <si>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</si>
  <si>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</si>
  <si>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</si>
  <si>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</si>
  <si>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</si>
  <si>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</si>
  <si>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</si>
  <si>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</si>
  <si>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</si>
  <si>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</si>
  <si>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</si>
  <si>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</si>
  <si>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</si>
  <si>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</si>
  <si>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</si>
  <si>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</si>
  <si>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</si>
  <si>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</si>
  <si>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</si>
  <si>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</si>
  <si>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</si>
  <si>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</si>
  <si>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</si>
  <si>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</si>
  <si>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</si>
  <si>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</si>
  <si>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</si>
  <si>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</si>
  <si>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</si>
  <si>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</si>
  <si>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</si>
  <si>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</si>
  <si>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</si>
  <si>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</si>
  <si>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</si>
  <si>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</si>
  <si>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</si>
  <si>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</si>
  <si>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</si>
  <si>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</si>
  <si>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</si>
  <si>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</si>
  <si>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</si>
  <si>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</si>
  <si>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</si>
  <si>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</si>
  <si>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</si>
  <si>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</si>
  <si>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</si>
  <si>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</si>
  <si>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</si>
  <si>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</si>
  <si>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</si>
  <si>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</si>
  <si>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</si>
  <si>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</si>
  <si>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</si>
  <si>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</si>
  <si>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</si>
  <si>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</si>
  <si>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</si>
  <si>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</si>
  <si>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</si>
  <si>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</si>
  <si>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</si>
  <si>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</si>
  <si>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</si>
  <si>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</si>
  <si>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</si>
  <si>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</si>
  <si>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</si>
  <si>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</si>
  <si>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</si>
  <si>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</si>
  <si>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</si>
  <si>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</si>
  <si>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</si>
  <si>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</si>
  <si>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</si>
  <si>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</si>
  <si>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</si>
  <si>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</si>
  <si>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</si>
  <si>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</si>
  <si>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</si>
  <si>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</si>
  <si>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</si>
  <si>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</si>
  <si>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</si>
  <si>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</si>
  <si>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</si>
  <si>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</si>
  <si>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</si>
  <si>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</si>
  <si>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</si>
  <si>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</si>
  <si>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</si>
  <si>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</si>
  <si>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</si>
  <si>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</si>
  <si>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</si>
  <si>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</si>
  <si>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</si>
  <si>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</si>
  <si>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</si>
  <si>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</si>
  <si>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</si>
  <si>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</si>
  <si>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</si>
  <si>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</si>
  <si>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</si>
  <si>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</si>
  <si>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</si>
  <si>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</si>
  <si>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</si>
  <si>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</si>
  <si>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</si>
  <si>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</si>
  <si>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</si>
  <si>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</si>
  <si>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</si>
  <si>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</si>
  <si>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</si>
  <si>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</si>
  <si>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</si>
  <si>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</si>
  <si>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</si>
  <si>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</si>
  <si>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</si>
  <si>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</si>
  <si>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</si>
  <si>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</si>
  <si>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</si>
  <si>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</si>
  <si>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</si>
  <si>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</si>
  <si>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</si>
  <si>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</si>
  <si>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</si>
  <si>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</si>
  <si>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</si>
  <si>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</si>
  <si>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</si>
  <si>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</si>
  <si>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</si>
  <si>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</si>
  <si>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</si>
  <si>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</si>
  <si>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</si>
  <si>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</si>
  <si>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</si>
  <si>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</si>
  <si>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</si>
  <si>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</si>
  <si>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</si>
  <si>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</si>
  <si>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</si>
  <si>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</si>
  <si>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</si>
  <si>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</si>
  <si>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</si>
  <si>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</si>
  <si>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</si>
  <si>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</si>
  <si>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</si>
  <si>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</si>
  <si>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</si>
  <si>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</si>
  <si>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</si>
  <si>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</si>
  <si>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</si>
  <si>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</si>
  <si>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</si>
  <si>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</si>
  <si>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</si>
  <si>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</si>
  <si>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</si>
  <si>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</si>
  <si>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</si>
  <si>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</si>
  <si>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</si>
  <si>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</si>
  <si>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</si>
  <si>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</si>
  <si>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</si>
  <si>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</si>
  <si>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</si>
  <si>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</si>
  <si>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</si>
  <si>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</si>
  <si>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</si>
  <si>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</si>
  <si>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</si>
  <si>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</si>
  <si>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</si>
  <si>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</si>
  <si>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</si>
  <si>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</si>
  <si>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</si>
  <si>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</si>
  <si>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</si>
  <si>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</si>
  <si>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</si>
  <si>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</si>
  <si>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</si>
  <si>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</si>
  <si>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</si>
  <si>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</si>
  <si>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</si>
  <si>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</si>
  <si>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</si>
  <si>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</si>
  <si>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</si>
  <si>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</si>
  <si>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</si>
  <si>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</si>
  <si>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</si>
  <si>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</si>
  <si>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</si>
  <si>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</si>
  <si>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</si>
  <si>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</si>
  <si>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</si>
  <si>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</si>
  <si>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</si>
  <si>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</si>
  <si>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</si>
  <si>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</si>
  <si>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</si>
  <si>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</si>
  <si>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</si>
  <si>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</si>
  <si>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</si>
  <si>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</si>
  <si>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</si>
  <si>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</si>
  <si>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</si>
  <si>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</si>
  <si>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</si>
  <si>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</si>
  <si>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</si>
  <si>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</si>
  <si>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</si>
  <si>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</si>
  <si>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</si>
  <si>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</si>
  <si>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</si>
  <si>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</si>
  <si>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</si>
  <si>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</si>
  <si>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</si>
  <si>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</si>
  <si>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</si>
  <si>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</si>
  <si>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</si>
  <si>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</si>
  <si>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</si>
  <si>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</si>
  <si>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</si>
  <si>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</si>
  <si>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</si>
  <si>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</si>
  <si>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</si>
  <si>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</si>
  <si>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</si>
  <si>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</si>
  <si>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</si>
  <si>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</si>
  <si>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</si>
  <si>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</si>
  <si>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</si>
  <si>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</si>
  <si>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</si>
  <si>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</si>
  <si>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</si>
  <si>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</si>
  <si>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</si>
  <si>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</si>
  <si>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</si>
  <si>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</si>
  <si>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</si>
  <si>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</si>
  <si>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</si>
  <si>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</si>
  <si>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</si>
  <si>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</si>
  <si>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</si>
  <si>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</si>
  <si>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</si>
  <si>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</si>
  <si>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</si>
  <si>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</si>
  <si>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</si>
  <si>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</si>
  <si>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</si>
  <si>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</si>
  <si>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</si>
  <si>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</si>
  <si>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</si>
  <si>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</si>
  <si>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</si>
  <si>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</si>
  <si>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</si>
  <si>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</si>
  <si>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</si>
  <si>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</si>
  <si>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</si>
  <si>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</si>
  <si>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</si>
  <si>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</si>
  <si>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</si>
  <si>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</si>
  <si>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</si>
  <si>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</si>
  <si>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</si>
  <si>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</si>
  <si>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</si>
  <si>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</si>
  <si>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</si>
  <si>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</si>
  <si>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</si>
  <si>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</si>
  <si>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</si>
  <si>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</si>
  <si>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</si>
  <si>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</si>
  <si>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</si>
  <si>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</si>
  <si>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</si>
  <si>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</si>
  <si>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</si>
  <si>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</si>
  <si>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</si>
  <si>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</si>
  <si>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</si>
  <si>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</si>
  <si>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</si>
  <si>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</si>
  <si>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</si>
  <si>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</si>
  <si>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</si>
  <si>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</si>
  <si>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</si>
  <si>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</si>
  <si>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</si>
  <si>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</si>
  <si>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</si>
  <si>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</si>
  <si>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</si>
  <si>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</si>
  <si>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</si>
  <si>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</si>
  <si>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</si>
  <si>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</si>
  <si>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</si>
  <si>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</si>
  <si>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</si>
  <si>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</si>
  <si>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</si>
  <si>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</si>
  <si>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</si>
  <si>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</si>
  <si>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</si>
  <si>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</si>
  <si>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</si>
  <si>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</si>
  <si>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</si>
  <si>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</si>
  <si>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</si>
  <si>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</si>
  <si>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</si>
  <si>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</si>
  <si>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</si>
  <si>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</si>
  <si>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</si>
  <si>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</si>
  <si>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</si>
  <si>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</si>
  <si>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</si>
  <si>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</si>
  <si>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</si>
  <si>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</si>
  <si>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</si>
  <si>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</si>
  <si>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</si>
  <si>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</si>
  <si>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</si>
  <si>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</si>
  <si>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</si>
  <si>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</si>
  <si>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</si>
  <si>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</si>
  <si>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</si>
  <si>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</si>
  <si>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</si>
  <si>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</si>
  <si>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</si>
  <si>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</si>
  <si>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</si>
  <si>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</si>
  <si>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</si>
  <si>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</si>
  <si>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</si>
  <si>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</si>
  <si>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</si>
  <si>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</si>
  <si>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</si>
  <si>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</si>
  <si>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</si>
  <si>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</si>
  <si>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</si>
  <si>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</si>
  <si>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</si>
  <si>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</si>
  <si>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</si>
  <si>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</si>
  <si>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</si>
  <si>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</si>
  <si>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</si>
  <si>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</si>
  <si>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</si>
  <si>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</si>
  <si>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</si>
  <si>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</si>
  <si>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</si>
  <si>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</si>
  <si>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</si>
  <si>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</si>
  <si>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</si>
  <si>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</si>
  <si>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</si>
  <si>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</si>
  <si>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</si>
  <si>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</si>
  <si>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</si>
  <si>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</si>
  <si>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</si>
  <si>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</si>
  <si>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</si>
  <si>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</si>
  <si>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</si>
  <si>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</si>
  <si>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</si>
  <si>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</si>
  <si>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</si>
  <si>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</si>
  <si>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</si>
  <si>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</si>
  <si>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</si>
  <si>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</si>
  <si>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</si>
  <si>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</si>
  <si>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</si>
  <si>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</si>
  <si>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</si>
  <si>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</si>
  <si>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</si>
  <si>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</si>
  <si>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</si>
  <si>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</si>
  <si>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</si>
  <si>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</si>
  <si>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</si>
  <si>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</si>
  <si>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</si>
  <si>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</si>
  <si>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</si>
  <si>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</si>
  <si>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</si>
  <si>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</si>
  <si>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</si>
  <si>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</si>
  <si>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</si>
  <si>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</si>
  <si>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</si>
  <si>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</si>
  <si>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</si>
  <si>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</si>
  <si>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</si>
  <si>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</si>
  <si>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</si>
  <si>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</si>
  <si>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</si>
  <si>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</si>
  <si>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</si>
  <si>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</si>
  <si>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</si>
  <si>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</si>
  <si>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</si>
  <si>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</si>
  <si>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</si>
  <si>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</si>
  <si>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</si>
  <si>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</si>
  <si>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</si>
  <si>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</si>
  <si>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</si>
  <si>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</si>
  <si>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</si>
  <si>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</si>
  <si>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</si>
  <si>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</si>
  <si>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</si>
  <si>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</si>
  <si>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</si>
  <si>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</si>
  <si>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</si>
  <si>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</si>
  <si>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</si>
  <si>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</si>
  <si>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</si>
  <si>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</si>
  <si>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</si>
  <si>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</si>
  <si>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</si>
  <si>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</si>
  <si>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</si>
  <si>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</si>
  <si>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</si>
  <si>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</si>
  <si>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</si>
  <si>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</si>
  <si>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</si>
  <si>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</si>
  <si>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</si>
  <si>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</si>
  <si>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</si>
  <si>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</si>
  <si>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</si>
  <si>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</si>
  <si>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</si>
  <si>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</si>
  <si>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</si>
  <si>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</si>
  <si>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</si>
  <si>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</si>
  <si>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</si>
  <si>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</si>
  <si>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</si>
  <si>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</si>
  <si>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</si>
  <si>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</si>
  <si>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</si>
  <si>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</si>
  <si>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</si>
  <si>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</si>
  <si>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</si>
  <si>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</si>
  <si>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</si>
  <si>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</si>
  <si>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</si>
  <si>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</si>
  <si>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</si>
  <si>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</si>
  <si>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</si>
  <si>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</si>
  <si>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</si>
  <si>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</si>
  <si>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</si>
  <si>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</si>
  <si>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</si>
  <si>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</si>
  <si>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</si>
  <si>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</si>
  <si>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</si>
  <si>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</si>
  <si>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</si>
  <si>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</si>
  <si>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</si>
  <si>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</si>
  <si>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</si>
  <si>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</si>
  <si>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</si>
  <si>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</si>
  <si>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</si>
  <si>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</si>
  <si>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</si>
  <si>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</si>
  <si>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</si>
  <si>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</si>
  <si>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</si>
  <si>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</si>
  <si>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</si>
  <si>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</si>
  <si>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</si>
  <si>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</si>
  <si>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</si>
  <si>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</si>
  <si>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</si>
  <si>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</si>
  <si>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</si>
  <si>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</si>
  <si>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</si>
  <si>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</si>
  <si>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</si>
  <si>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</si>
  <si>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</si>
  <si>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</si>
  <si>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</si>
  <si>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</si>
  <si>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</si>
  <si>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</si>
  <si>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</si>
  <si>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</si>
  <si>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</si>
  <si>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</si>
  <si>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</si>
  <si>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</si>
  <si>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</si>
  <si>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</si>
  <si>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</si>
  <si>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</si>
  <si>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</si>
  <si>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</si>
  <si>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</si>
  <si>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</si>
  <si>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</si>
  <si>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</si>
  <si>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</si>
  <si>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</si>
  <si>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</si>
  <si>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</si>
  <si>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</si>
  <si>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</si>
  <si>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</si>
  <si>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</si>
  <si>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</si>
  <si>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</si>
  <si>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</si>
  <si>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</si>
  <si>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</si>
  <si>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</si>
  <si>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</si>
  <si>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</si>
  <si>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</si>
  <si>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</si>
  <si>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</si>
  <si>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</si>
  <si>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</si>
  <si>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</si>
  <si>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</si>
  <si>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</si>
  <si>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</si>
  <si>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</si>
  <si>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</si>
  <si>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</si>
  <si>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</si>
  <si>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</si>
  <si>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</si>
  <si>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</si>
  <si>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</si>
  <si>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</si>
  <si>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</si>
  <si>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</si>
  <si>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</si>
  <si>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</si>
  <si>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</si>
  <si>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</si>
  <si>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</si>
  <si>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</si>
  <si>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</si>
  <si>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</si>
  <si>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</si>
  <si>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</si>
  <si>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</si>
  <si>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</si>
  <si>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</si>
  <si>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</si>
  <si>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</si>
  <si>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</si>
  <si>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</si>
  <si>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</si>
  <si>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</si>
  <si>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</si>
  <si>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</si>
  <si>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</si>
  <si>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</si>
  <si>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</si>
  <si>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</si>
  <si>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</si>
  <si>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</si>
  <si>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</si>
  <si>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</si>
  <si>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</si>
  <si>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</si>
  <si>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</si>
  <si>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</si>
  <si>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</si>
  <si>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</si>
  <si>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</si>
  <si>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</si>
  <si>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</si>
  <si>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</si>
  <si>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</si>
  <si>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</si>
  <si>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</si>
  <si>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</si>
  <si>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</si>
  <si>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</si>
  <si>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</si>
  <si>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</si>
  <si>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</si>
  <si>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</si>
  <si>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</si>
  <si>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</si>
  <si>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</si>
  <si>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</si>
  <si>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</si>
  <si>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</si>
  <si>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</si>
  <si>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</si>
  <si>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</si>
  <si>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</si>
  <si>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</si>
  <si>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</si>
  <si>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</si>
  <si>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</si>
  <si>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</si>
  <si>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</si>
  <si>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</si>
  <si>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</si>
  <si>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</si>
  <si>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</si>
  <si>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</si>
  <si>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</si>
  <si>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</si>
  <si>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</si>
  <si>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</si>
  <si>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</si>
  <si>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</si>
  <si>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</si>
  <si>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</si>
  <si>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</si>
  <si>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</si>
  <si>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</si>
  <si>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</si>
  <si>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</si>
  <si>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</si>
  <si>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</si>
  <si>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</si>
  <si>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</si>
  <si>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</si>
  <si>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</si>
  <si>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</si>
  <si>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</si>
  <si>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</si>
  <si>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</si>
  <si>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</si>
  <si>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</si>
  <si>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</si>
  <si>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</si>
  <si>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</si>
  <si>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</si>
  <si>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</si>
  <si>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</si>
  <si>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</si>
  <si>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</si>
  <si>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</si>
  <si>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</si>
  <si>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</si>
  <si>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</si>
  <si>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</si>
  <si>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</si>
  <si>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</si>
  <si>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</si>
  <si>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</si>
  <si>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</si>
  <si>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</si>
  <si>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</si>
  <si>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</si>
  <si>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</si>
  <si>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</si>
  <si>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</si>
  <si>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</si>
  <si>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</si>
  <si>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</si>
  <si>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</si>
  <si>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</si>
  <si>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</si>
  <si>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</si>
  <si>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</si>
  <si>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</si>
  <si>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</si>
  <si>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</si>
  <si>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</si>
  <si>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</si>
  <si>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</si>
  <si>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</si>
  <si>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</si>
  <si>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</si>
  <si>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</si>
  <si>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</si>
  <si>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</si>
  <si>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</si>
  <si>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</si>
  <si>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</si>
  <si>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</si>
  <si>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</si>
  <si>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</si>
  <si>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</si>
  <si>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</si>
  <si>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</si>
  <si>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</si>
  <si>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</si>
  <si>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</si>
  <si>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</si>
  <si>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</si>
  <si>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</si>
  <si>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</si>
  <si>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</si>
  <si>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</si>
  <si>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</si>
  <si>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</si>
  <si>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</si>
  <si>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</si>
  <si>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</si>
  <si>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</si>
  <si>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</si>
  <si>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</si>
  <si>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</si>
  <si>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</si>
  <si>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</si>
  <si>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</si>
  <si>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</si>
  <si>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</si>
  <si>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</si>
  <si>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</si>
  <si>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</si>
  <si>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</si>
  <si>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</si>
  <si>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</si>
  <si>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</si>
  <si>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</si>
  <si>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</si>
  <si>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</si>
  <si>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</si>
  <si>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</si>
  <si>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</si>
  <si>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</si>
  <si>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</si>
  <si>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</si>
  <si>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</si>
  <si>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</si>
  <si>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</si>
  <si>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</si>
  <si>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</si>
  <si>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</si>
  <si>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</si>
  <si>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</si>
  <si>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</si>
  <si>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</si>
  <si>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</si>
  <si>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</si>
  <si>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</si>
  <si>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</si>
  <si>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</si>
  <si>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</si>
  <si>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</si>
  <si>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</si>
  <si>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</si>
  <si>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</si>
  <si>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</si>
  <si>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</si>
  <si>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</si>
  <si>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</si>
  <si>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</si>
  <si>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</si>
  <si>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</si>
  <si>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</si>
  <si>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</si>
  <si>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</si>
  <si>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</si>
  <si>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</si>
  <si>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</si>
  <si>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</si>
  <si>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</si>
  <si>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</si>
  <si>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</si>
  <si>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</si>
  <si>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</si>
  <si>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</si>
  <si>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</si>
  <si>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</si>
  <si>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</si>
  <si>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</si>
  <si>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</si>
  <si>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</si>
  <si>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</si>
  <si>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</si>
  <si>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</si>
  <si>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</si>
  <si>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</si>
  <si>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</si>
  <si>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</si>
  <si>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</si>
  <si>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</si>
  <si>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</si>
  <si>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</si>
  <si>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</si>
  <si>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</si>
  <si>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</si>
  <si>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</si>
  <si>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</si>
  <si>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</si>
  <si>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</si>
  <si>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</si>
  <si>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</si>
  <si>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</si>
  <si>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</si>
  <si>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</si>
  <si>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</si>
  <si>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</si>
  <si>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</si>
  <si>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</si>
  <si>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</si>
  <si>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</si>
  <si>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</si>
  <si>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</si>
  <si>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</si>
  <si>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</si>
  <si>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</si>
  <si>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</si>
  <si>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</si>
  <si>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</si>
  <si>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</si>
  <si>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</si>
  <si>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</si>
  <si>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</si>
  <si>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</si>
  <si>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</si>
  <si>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</si>
  <si>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</si>
  <si>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</si>
  <si>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</si>
  <si>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</si>
  <si>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</si>
  <si>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</si>
  <si>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</si>
  <si>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</si>
  <si>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</si>
  <si>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</si>
  <si>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</si>
  <si>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</si>
  <si>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</si>
  <si>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</si>
  <si>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</si>
  <si>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</si>
  <si>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</si>
  <si>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</si>
  <si>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</si>
  <si>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</si>
  <si>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</si>
  <si>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</si>
  <si>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</si>
  <si>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</si>
  <si>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</si>
  <si>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</si>
  <si>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</si>
  <si>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</si>
  <si>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</si>
  <si>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</si>
  <si>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</si>
  <si>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</si>
  <si>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</si>
  <si>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</si>
  <si>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</si>
  <si>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</si>
  <si>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</si>
  <si>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</si>
  <si>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</si>
  <si>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</si>
  <si>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</si>
  <si>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</si>
  <si>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</si>
  <si>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</si>
  <si>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</si>
  <si>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</si>
  <si>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</si>
  <si>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</si>
  <si>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</si>
  <si>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</si>
  <si>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</si>
  <si>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</si>
  <si>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</si>
  <si>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</si>
  <si>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</si>
  <si>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</si>
  <si>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</si>
  <si>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</si>
  <si>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</si>
  <si>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</si>
  <si>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</si>
  <si>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</si>
  <si>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</si>
  <si>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</si>
  <si>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</si>
  <si>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</si>
  <si>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</si>
  <si>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</si>
  <si>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</si>
  <si>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</si>
  <si>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</si>
  <si>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</si>
  <si>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</si>
  <si>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</si>
  <si>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</si>
  <si>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</si>
  <si>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</si>
  <si>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</si>
  <si>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</si>
  <si>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</si>
  <si>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</si>
  <si>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</si>
  <si>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</si>
  <si>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</si>
  <si>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</si>
  <si>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</si>
  <si>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</si>
  <si>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</si>
  <si>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</si>
  <si>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</si>
  <si>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</si>
  <si>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</si>
  <si>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</si>
  <si>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</si>
  <si>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</si>
  <si>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</si>
  <si>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</si>
  <si>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</si>
  <si>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</si>
  <si>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</si>
  <si>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</si>
  <si>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</si>
  <si>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</si>
  <si>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</si>
  <si>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</si>
  <si>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</si>
  <si>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</si>
  <si>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</si>
  <si>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</si>
  <si>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</si>
  <si>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</si>
  <si>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</si>
  <si>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</si>
  <si>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</si>
  <si>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</si>
  <si>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</si>
  <si>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</si>
  <si>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</si>
  <si>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</si>
  <si>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</si>
  <si>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</si>
  <si>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</si>
  <si>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</si>
  <si>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</si>
  <si>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</si>
  <si>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</si>
  <si>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</si>
  <si>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</si>
  <si>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</si>
  <si>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</si>
  <si>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</si>
  <si>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</si>
  <si>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</si>
  <si>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</si>
  <si>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</si>
  <si>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</si>
  <si>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</si>
  <si>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</si>
  <si>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</si>
  <si>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</si>
  <si>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</si>
  <si>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</si>
  <si>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</si>
  <si>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</si>
  <si>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</si>
  <si>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</si>
  <si>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</si>
  <si>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</si>
  <si>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</si>
  <si>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</si>
  <si>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</si>
  <si>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</si>
  <si>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</si>
  <si>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</si>
  <si>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</si>
  <si>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</si>
  <si>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</si>
  <si>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</si>
  <si>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</si>
  <si>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</si>
  <si>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</si>
  <si>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</si>
  <si>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</si>
  <si>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</si>
  <si>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</si>
  <si>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</si>
  <si>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</si>
  <si>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</si>
  <si>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</si>
  <si>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</si>
  <si>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</si>
  <si>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</si>
  <si>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</si>
  <si>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</si>
  <si>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</si>
  <si>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</si>
  <si>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</si>
  <si>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</si>
  <si>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</si>
  <si>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</si>
  <si>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</si>
  <si>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</si>
  <si>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</si>
  <si>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</si>
  <si>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</si>
  <si>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</si>
  <si>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</si>
  <si>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</si>
  <si>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</si>
  <si>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</si>
  <si>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</si>
  <si>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</si>
  <si>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</si>
  <si>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</si>
  <si>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</si>
  <si>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</si>
  <si>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</si>
  <si>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</si>
  <si>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</si>
  <si>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</si>
  <si>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</si>
  <si>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</si>
  <si>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</si>
  <si>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</si>
  <si>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</si>
  <si>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</si>
  <si>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</si>
  <si>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</si>
  <si>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</si>
  <si>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</si>
  <si>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</si>
  <si>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</si>
  <si>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</si>
  <si>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</si>
  <si>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</si>
  <si>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</si>
  <si>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</si>
  <si>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</si>
  <si>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</si>
  <si>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</si>
  <si>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</si>
  <si>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</si>
  <si>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</si>
  <si>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</si>
  <si>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</si>
  <si>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</si>
  <si>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</si>
  <si>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</si>
  <si>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</si>
  <si>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</si>
  <si>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</si>
  <si>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</si>
  <si>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</si>
  <si>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</si>
  <si>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</si>
  <si>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</si>
  <si>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</si>
  <si>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</si>
  <si>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</si>
  <si>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</si>
  <si>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</si>
  <si>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</si>
  <si>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</si>
  <si>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</si>
  <si>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</si>
  <si>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</si>
  <si>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</si>
  <si>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</si>
  <si>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</si>
  <si>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</si>
  <si>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</si>
  <si>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</si>
  <si>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</si>
  <si>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</si>
  <si>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</si>
  <si>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</si>
  <si>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</si>
  <si>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</si>
  <si>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</si>
  <si>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</si>
  <si>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</si>
  <si>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</si>
  <si>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</si>
  <si>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</si>
  <si>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</si>
  <si>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</si>
  <si>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</si>
  <si>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</si>
  <si>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</si>
  <si>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</si>
  <si>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</si>
  <si>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</si>
  <si>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</si>
  <si>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</si>
  <si>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</si>
  <si>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</si>
  <si>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</si>
  <si>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</si>
  <si>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</si>
  <si>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</si>
  <si>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</si>
  <si>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</si>
  <si>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</si>
  <si>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</si>
  <si>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</si>
  <si>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</si>
  <si>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</si>
  <si>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</si>
  <si>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</si>
  <si>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</si>
  <si>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</si>
  <si>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</si>
  <si>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</si>
  <si>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</si>
  <si>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</si>
  <si>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</si>
  <si>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</si>
  <si>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</si>
  <si>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</si>
  <si>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</si>
  <si>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</si>
  <si>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</si>
  <si>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</si>
  <si>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</si>
  <si>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</si>
  <si>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</si>
  <si>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</si>
  <si>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</si>
  <si>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</si>
  <si>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</si>
  <si>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</si>
  <si>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</si>
  <si>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</si>
  <si>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</si>
  <si>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</si>
  <si>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</si>
  <si>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</si>
  <si>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</si>
  <si>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</si>
  <si>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</si>
  <si>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</si>
  <si>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</si>
  <si>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</si>
  <si>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</si>
  <si>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</si>
  <si>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</si>
  <si>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</si>
  <si>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</si>
  <si>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</si>
  <si>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</si>
  <si>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</si>
  <si>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</si>
  <si>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</si>
  <si>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</si>
  <si>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</si>
  <si>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</si>
  <si>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</si>
  <si>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</si>
  <si>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</si>
  <si>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</si>
  <si>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</si>
  <si>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</si>
  <si>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</si>
  <si>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</si>
  <si>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</si>
  <si>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</si>
  <si>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</si>
  <si>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</si>
  <si>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</si>
  <si>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</si>
  <si>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</si>
  <si>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</si>
  <si>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</si>
  <si>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</si>
  <si>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</si>
  <si>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</si>
  <si>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</si>
  <si>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</si>
  <si>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</si>
  <si>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</si>
  <si>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</si>
  <si>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</si>
  <si>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</si>
  <si>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</si>
  <si>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</si>
  <si>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</si>
  <si>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</si>
  <si>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</si>
  <si>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</si>
  <si>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</si>
  <si>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</si>
  <si>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</si>
  <si>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</si>
  <si>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</si>
  <si>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</si>
  <si>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</si>
  <si>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</si>
  <si>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</si>
  <si>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</si>
  <si>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</si>
  <si>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</si>
  <si>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</si>
  <si>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</si>
  <si>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</si>
  <si>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</si>
  <si>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</si>
  <si>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</si>
  <si>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</si>
  <si>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</si>
  <si>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</si>
  <si>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</si>
  <si>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</si>
  <si>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</si>
  <si>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</si>
  <si>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</si>
  <si>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</si>
  <si>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</si>
  <si>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</si>
  <si>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</si>
  <si>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</si>
  <si>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</si>
  <si>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</si>
  <si>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</si>
  <si>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</si>
  <si>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</si>
  <si>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</si>
  <si>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</si>
  <si>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</si>
  <si>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</si>
  <si>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</si>
  <si>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</si>
  <si>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</si>
  <si>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</si>
  <si>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</si>
  <si>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</si>
  <si>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</si>
  <si>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</si>
  <si>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</si>
  <si>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</si>
  <si>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</si>
  <si>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</si>
  <si>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</si>
  <si>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</si>
  <si>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</si>
  <si>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</si>
  <si>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</si>
  <si>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</si>
  <si>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</si>
  <si>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</si>
  <si>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</si>
  <si>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</si>
  <si>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</si>
  <si>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</si>
  <si>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</si>
  <si>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</si>
  <si>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</si>
  <si>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</si>
  <si>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</si>
  <si>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</si>
  <si>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</si>
  <si>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</si>
  <si>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</si>
  <si>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</si>
  <si>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</si>
  <si>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</si>
  <si>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</si>
  <si>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</si>
  <si>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</si>
  <si>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</si>
  <si>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</si>
  <si>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</si>
  <si>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</si>
  <si>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</si>
  <si>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</si>
  <si>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</si>
  <si>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</si>
  <si>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</si>
  <si>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</si>
  <si>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</si>
  <si>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</si>
  <si>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</si>
  <si>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</si>
  <si>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</si>
  <si>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</si>
  <si>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</si>
  <si>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</si>
  <si>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</si>
  <si>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</si>
  <si>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</si>
  <si>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</si>
  <si>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</si>
  <si>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</si>
  <si>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</si>
  <si>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</si>
  <si>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</si>
  <si>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</si>
  <si>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</si>
  <si>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</si>
  <si>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</si>
  <si>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</si>
  <si>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</si>
  <si>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</si>
  <si>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</si>
  <si>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</si>
  <si>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</si>
  <si>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</si>
  <si>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</si>
  <si>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</si>
  <si>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</si>
  <si>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</si>
  <si>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</si>
  <si>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</si>
  <si>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</si>
  <si>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</si>
  <si>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</si>
  <si>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</si>
  <si>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</si>
  <si>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</si>
  <si>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</si>
  <si>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</si>
  <si>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</si>
  <si>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</si>
  <si>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</si>
  <si>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</si>
  <si>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</si>
  <si>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</si>
  <si>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</si>
  <si>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</si>
  <si>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</si>
  <si>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</si>
  <si>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</si>
  <si>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</si>
  <si>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</si>
  <si>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</si>
  <si>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</si>
  <si>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</si>
  <si>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</si>
  <si>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</si>
  <si>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</si>
  <si>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</si>
  <si>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</si>
  <si>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</si>
  <si>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</si>
  <si>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</si>
  <si>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</si>
  <si>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</si>
  <si>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</si>
  <si>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</si>
  <si>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</si>
  <si>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</si>
  <si>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</si>
  <si>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</si>
  <si>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</si>
  <si>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</si>
  <si>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</si>
  <si>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</si>
  <si>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</si>
  <si>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</si>
  <si>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</si>
  <si>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</si>
  <si>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</si>
  <si>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</si>
  <si>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</si>
  <si>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</si>
  <si>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</si>
  <si>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</si>
  <si>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</si>
  <si>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</si>
  <si>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</si>
  <si>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</si>
  <si>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</si>
  <si>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</si>
  <si>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</si>
  <si>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</si>
  <si>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</si>
  <si>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</si>
  <si>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</si>
  <si>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</si>
  <si>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</si>
  <si>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</si>
  <si>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</si>
  <si>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</si>
  <si>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</si>
  <si>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</si>
  <si>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</si>
  <si>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</si>
  <si>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</si>
  <si>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</si>
  <si>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</si>
  <si>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</si>
  <si>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</si>
  <si>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</si>
  <si>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</si>
  <si>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</si>
  <si>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</si>
  <si>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</si>
  <si>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</si>
  <si>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</si>
  <si>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</si>
  <si>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</si>
  <si>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</si>
  <si>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</si>
  <si>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</si>
  <si>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</si>
  <si>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</si>
  <si>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</si>
  <si>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</si>
  <si>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</si>
  <si>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</si>
  <si>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</si>
  <si>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</si>
  <si>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</si>
  <si>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</si>
  <si>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</si>
  <si>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</si>
  <si>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</si>
  <si>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</si>
  <si>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</si>
  <si>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</si>
  <si>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</si>
  <si>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</si>
  <si>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</si>
  <si>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</si>
  <si>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</si>
  <si>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</si>
  <si>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</si>
  <si>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</si>
  <si>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</si>
  <si>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</si>
  <si>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</si>
  <si>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</si>
  <si>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</si>
  <si>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</si>
  <si>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</si>
  <si>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</si>
  <si>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</si>
  <si>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</si>
  <si>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</si>
  <si>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</si>
  <si>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</si>
  <si>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</si>
  <si>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</si>
  <si>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</si>
  <si>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</si>
  <si>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</si>
  <si>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</si>
  <si>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</si>
  <si>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</si>
  <si>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</si>
  <si>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</si>
  <si>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</si>
  <si>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</si>
  <si>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</si>
  <si>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</si>
  <si>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</si>
  <si>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</si>
  <si>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</si>
  <si>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</si>
  <si>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</si>
  <si>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</si>
  <si>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</si>
  <si>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</si>
  <si>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</si>
  <si>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</si>
  <si>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</si>
  <si>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</si>
  <si>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</si>
  <si>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</si>
  <si>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</si>
  <si>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</si>
  <si>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</si>
  <si>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</si>
  <si>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</si>
  <si>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</si>
  <si>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</si>
  <si>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</si>
  <si>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</si>
  <si>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</si>
  <si>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</si>
  <si>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</si>
  <si>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</si>
  <si>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</si>
  <si>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</si>
  <si>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</si>
  <si>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</si>
  <si>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</si>
  <si>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</si>
  <si>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</si>
  <si>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</si>
  <si>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</si>
  <si>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</si>
  <si>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</si>
  <si>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</si>
  <si>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</si>
  <si>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</si>
  <si>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</si>
  <si>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</si>
  <si>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</si>
  <si>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</si>
  <si>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</si>
  <si>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</si>
  <si>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</si>
  <si>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</si>
  <si>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</si>
  <si>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</si>
  <si>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</si>
  <si>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</si>
  <si>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</si>
  <si>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</si>
  <si>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</si>
  <si>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</si>
  <si>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</si>
  <si>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</si>
  <si>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</si>
  <si>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</si>
  <si>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</si>
  <si>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</si>
  <si>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</si>
  <si>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</si>
  <si>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</si>
  <si>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</si>
  <si>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</si>
  <si>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</si>
  <si>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</si>
  <si>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</si>
  <si>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</si>
  <si>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</si>
  <si>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</si>
  <si>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</si>
  <si>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</si>
  <si>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</si>
  <si>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</si>
  <si>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</si>
  <si>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</si>
  <si>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</si>
  <si>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</si>
  <si>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</si>
  <si>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</si>
  <si>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</si>
  <si>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</si>
  <si>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</si>
  <si>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</si>
  <si>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</si>
  <si>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</si>
  <si>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</si>
  <si>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</si>
  <si>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</si>
  <si>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</si>
  <si>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</si>
  <si>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</si>
  <si>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</si>
  <si>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</si>
  <si>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</si>
  <si>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</si>
  <si>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</si>
  <si>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</si>
  <si>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</si>
  <si>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</si>
  <si>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</si>
  <si>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</si>
  <si>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</si>
  <si>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</si>
  <si>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</si>
  <si>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</si>
  <si>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</si>
  <si>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</si>
  <si>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</si>
  <si>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</si>
  <si>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</si>
  <si>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</si>
  <si>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</si>
  <si>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</si>
  <si>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</si>
  <si>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</si>
  <si>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</si>
  <si>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</si>
  <si>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</si>
  <si>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</si>
  <si>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</si>
  <si>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</si>
  <si>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</si>
  <si>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</si>
  <si>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</si>
  <si>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</si>
  <si>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</si>
  <si>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</si>
  <si>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</si>
  <si>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</si>
  <si>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</si>
  <si>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</si>
  <si>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</si>
  <si>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</si>
  <si>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</si>
  <si>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</si>
  <si>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</si>
  <si>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</si>
  <si>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</si>
  <si>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</si>
  <si>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</si>
  <si>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</si>
  <si>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</si>
  <si>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</si>
  <si>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</si>
  <si>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</si>
  <si>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</si>
  <si>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</si>
  <si>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</si>
  <si>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</si>
  <si>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</si>
  <si>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</si>
  <si>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</si>
  <si>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</si>
  <si>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</si>
  <si>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</si>
  <si>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</si>
  <si>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</si>
  <si>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</si>
  <si>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</si>
  <si>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</si>
  <si>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</si>
  <si>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</si>
  <si>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</si>
  <si>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</si>
  <si>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</si>
  <si>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</si>
  <si>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</si>
  <si>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</si>
  <si>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</si>
  <si>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</si>
  <si>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</si>
  <si>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</si>
  <si>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</si>
  <si>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</si>
  <si>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</si>
  <si>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</si>
  <si>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</si>
  <si>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</si>
  <si>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</si>
  <si>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</si>
  <si>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</si>
  <si>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</si>
  <si>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</si>
  <si>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</si>
  <si>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</si>
  <si>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</si>
  <si>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</si>
  <si>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</si>
  <si>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</si>
  <si>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</si>
  <si>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</si>
  <si>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</si>
  <si>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</si>
  <si>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</si>
  <si>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</si>
  <si>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</si>
  <si>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</si>
  <si>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</si>
  <si>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</si>
  <si>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</si>
  <si>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</si>
  <si>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</si>
  <si>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</si>
  <si>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</si>
  <si>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</si>
  <si>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</si>
  <si>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</si>
  <si>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</si>
  <si>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</si>
  <si>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</si>
  <si>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</si>
  <si>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</si>
  <si>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</si>
  <si>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</si>
  <si>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</si>
  <si>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</si>
  <si>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</si>
  <si>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</si>
  <si>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</si>
  <si>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</si>
  <si>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</si>
  <si>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</si>
  <si>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</si>
  <si>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</si>
  <si>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</si>
  <si>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</si>
  <si>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</si>
  <si>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</si>
  <si>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</si>
  <si>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</si>
  <si>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</si>
  <si>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</si>
  <si>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</si>
  <si>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</si>
  <si>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</si>
  <si>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</si>
  <si>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</si>
  <si>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</si>
  <si>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</si>
  <si>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</si>
  <si>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</si>
  <si>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</si>
  <si>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</si>
  <si>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</si>
  <si>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</si>
  <si>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</si>
  <si>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</si>
  <si>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</si>
  <si>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</si>
  <si>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</si>
  <si>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</si>
  <si>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</si>
  <si>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</si>
  <si>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</si>
  <si>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</si>
  <si>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</si>
  <si>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</si>
  <si>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</si>
  <si>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</si>
  <si>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</si>
  <si>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</si>
  <si>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</si>
  <si>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</si>
  <si>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</si>
  <si>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</si>
  <si>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</si>
  <si>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</si>
  <si>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</si>
  <si>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</si>
  <si>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</si>
  <si>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</si>
  <si>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</si>
  <si>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</si>
  <si>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</si>
  <si>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</si>
  <si>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</si>
  <si>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</si>
  <si>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</si>
  <si>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</si>
  <si>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</si>
  <si>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</si>
  <si>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</si>
  <si>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</si>
  <si>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</si>
  <si>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</si>
  <si>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</si>
  <si>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</si>
  <si>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</si>
  <si>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</si>
  <si>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</si>
  <si>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</si>
  <si>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</si>
  <si>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</si>
  <si>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</si>
  <si>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</si>
  <si>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</si>
  <si>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</si>
  <si>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</si>
  <si>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</si>
  <si>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</si>
  <si>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</si>
  <si>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</si>
  <si>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</si>
  <si>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</si>
  <si>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</si>
  <si>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</si>
  <si>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</si>
  <si>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</si>
  <si>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</si>
  <si>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</si>
  <si>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</si>
  <si>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</si>
  <si>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</si>
  <si>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</si>
  <si>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</si>
  <si>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</si>
  <si>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</si>
  <si>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</si>
  <si>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</si>
  <si>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</si>
  <si>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</si>
  <si>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</si>
  <si>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</si>
  <si>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</si>
  <si>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</si>
  <si>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</si>
  <si>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</si>
  <si>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</si>
  <si>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</si>
  <si>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</si>
  <si>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</si>
  <si>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</si>
  <si>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</si>
  <si>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</si>
  <si>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</si>
  <si>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</si>
  <si>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</si>
  <si>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</si>
  <si>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</si>
  <si>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</si>
  <si>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</si>
  <si>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</si>
  <si>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</si>
  <si>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</si>
  <si>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</si>
  <si>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</si>
  <si>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</si>
  <si>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</si>
  <si>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</si>
  <si>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</si>
  <si>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</si>
  <si>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</si>
  <si>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</si>
  <si>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</si>
  <si>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</si>
  <si>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</si>
  <si>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</si>
  <si>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</si>
  <si>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</si>
  <si>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</si>
  <si>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</si>
  <si>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</si>
  <si>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</si>
  <si>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</si>
  <si>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</si>
  <si>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</si>
  <si>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</si>
  <si>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</si>
  <si>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</si>
  <si>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</si>
  <si>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</si>
  <si>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</si>
  <si>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</si>
  <si>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</si>
  <si>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</si>
  <si>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</si>
  <si>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</si>
  <si>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</si>
  <si>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</si>
  <si>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</si>
  <si>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</si>
  <si>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</si>
  <si>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</si>
  <si>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</si>
  <si>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</si>
  <si>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</si>
  <si>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</si>
  <si>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</si>
  <si>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</si>
  <si>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</si>
  <si>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</si>
  <si>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</si>
  <si>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</si>
  <si>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</si>
  <si>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</si>
  <si>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</si>
  <si>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</si>
  <si>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</si>
  <si>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</si>
  <si>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</si>
  <si>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</si>
  <si>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</si>
  <si>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</si>
  <si>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</si>
  <si>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</si>
  <si>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</si>
  <si>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</si>
  <si>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</si>
  <si>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</si>
  <si>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</si>
  <si>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</si>
  <si>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</si>
  <si>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</si>
  <si>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</si>
  <si>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</si>
  <si>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</si>
  <si>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</si>
  <si>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</si>
  <si>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</si>
  <si>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</si>
  <si>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</si>
  <si>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</si>
  <si>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</si>
  <si>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</si>
  <si>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</si>
  <si>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</si>
  <si>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</si>
  <si>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</si>
  <si>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</si>
  <si>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</si>
  <si>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</si>
  <si>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</si>
  <si>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</si>
  <si>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</si>
  <si>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</si>
  <si>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</si>
  <si>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</si>
  <si>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</si>
  <si>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</si>
  <si>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</si>
  <si>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</si>
  <si>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</si>
  <si>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</si>
  <si>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</si>
  <si>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</si>
  <si>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</si>
  <si>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</si>
  <si>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</si>
  <si>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</si>
  <si>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</si>
  <si>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</si>
  <si>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</si>
  <si>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</si>
  <si>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</si>
  <si>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</si>
  <si>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</si>
  <si>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</si>
  <si>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</si>
  <si>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</si>
  <si>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</si>
  <si>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</si>
  <si>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</si>
  <si>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</si>
  <si>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</si>
  <si>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</si>
  <si>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</si>
  <si>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</si>
  <si>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</si>
  <si>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</si>
  <si>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</si>
  <si>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</si>
  <si>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</si>
  <si>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</si>
  <si>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</si>
  <si>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</si>
  <si>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</si>
  <si>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</si>
  <si>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</si>
  <si>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</si>
  <si>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</si>
  <si>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</si>
  <si>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</si>
  <si>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</si>
  <si>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</si>
  <si>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</si>
  <si>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</si>
  <si>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</si>
  <si>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</si>
  <si>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</si>
  <si>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</si>
  <si>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</si>
  <si>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</si>
  <si>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</si>
  <si>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</si>
  <si>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</si>
  <si>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</si>
  <si>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</si>
  <si>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</si>
  <si>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</si>
  <si>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</si>
  <si>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</si>
  <si>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</si>
  <si>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</si>
  <si>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</si>
  <si>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</si>
  <si>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</si>
  <si>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</si>
  <si>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</si>
  <si>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</si>
  <si>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</si>
  <si>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</si>
  <si>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</si>
  <si>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</si>
  <si>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</si>
  <si>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</si>
  <si>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</si>
  <si>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</si>
  <si>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</si>
  <si>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</si>
  <si>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</si>
  <si>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</si>
  <si>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</si>
  <si>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</si>
  <si>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</si>
  <si>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</si>
  <si>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</si>
  <si>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</si>
  <si>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</si>
  <si>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</si>
  <si>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</si>
  <si>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</si>
  <si>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</si>
  <si>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</si>
  <si>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</si>
  <si>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</si>
  <si>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</si>
  <si>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</si>
  <si>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</si>
  <si>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</si>
  <si>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</si>
  <si>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</si>
  <si>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</si>
  <si>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</si>
  <si>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</si>
  <si>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</si>
  <si>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</si>
  <si>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</si>
  <si>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</si>
  <si>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</si>
  <si>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</si>
  <si>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</si>
  <si>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</si>
  <si>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</si>
  <si>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</si>
  <si>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</si>
  <si>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</si>
  <si>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</si>
  <si>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</si>
  <si>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</si>
  <si>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</si>
  <si>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</si>
  <si>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</si>
  <si>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</si>
  <si>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</si>
  <si>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</si>
  <si>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</si>
  <si>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</si>
  <si>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</si>
  <si>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</si>
  <si>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</si>
  <si>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</si>
  <si>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</si>
  <si>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</si>
  <si>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</si>
  <si>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</si>
  <si>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</si>
  <si>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</si>
  <si>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</si>
  <si>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</si>
  <si>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</si>
  <si>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</si>
  <si>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</si>
  <si>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</si>
  <si>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</si>
  <si>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</si>
  <si>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</si>
  <si>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</si>
  <si>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</si>
  <si>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</si>
  <si>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</si>
  <si>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</si>
  <si>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</si>
  <si>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</si>
  <si>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</si>
  <si>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</si>
  <si>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</si>
  <si>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</si>
  <si>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</si>
  <si>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</si>
  <si>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</si>
  <si>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</si>
  <si>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</si>
  <si>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</si>
  <si>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</si>
  <si>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</si>
  <si>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</si>
  <si>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</si>
  <si>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</si>
  <si>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</si>
  <si>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</si>
  <si>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</si>
  <si>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</si>
  <si>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</si>
  <si>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</si>
  <si>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</si>
  <si>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</si>
  <si>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</si>
  <si>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</si>
  <si>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</si>
  <si>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</si>
  <si>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</si>
  <si>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</si>
  <si>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</si>
  <si>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</si>
  <si>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</si>
  <si>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</si>
  <si>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</si>
  <si>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</si>
  <si>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</si>
  <si>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</si>
  <si>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</si>
  <si>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</si>
  <si>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</si>
  <si>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</si>
  <si>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</si>
  <si>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</si>
  <si>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</si>
  <si>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</si>
  <si>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</si>
  <si>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</si>
  <si>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</si>
  <si>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</si>
  <si>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</si>
  <si>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</si>
  <si>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</si>
  <si>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</si>
  <si>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</si>
  <si>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</si>
  <si>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</si>
  <si>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</si>
  <si>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</si>
  <si>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</si>
  <si>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</si>
  <si>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</si>
  <si>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</si>
  <si>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</si>
  <si>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</si>
  <si>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</si>
  <si>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</si>
  <si>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</si>
  <si>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</si>
  <si>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</si>
  <si>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</si>
  <si>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</si>
  <si>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</si>
  <si>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</si>
  <si>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</si>
  <si>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</si>
  <si>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</si>
  <si>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</si>
  <si>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</si>
  <si>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</si>
  <si>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</si>
  <si>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</si>
  <si>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</si>
  <si>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</si>
  <si>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</si>
  <si>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</si>
  <si>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</si>
  <si>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</si>
  <si>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</si>
  <si>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</si>
  <si>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</si>
  <si>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</si>
  <si>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</si>
  <si>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</si>
  <si>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</si>
  <si>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</si>
  <si>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</si>
  <si>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</si>
  <si>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</si>
  <si>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</si>
  <si>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</si>
  <si>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</si>
  <si>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</si>
  <si>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</si>
  <si>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</si>
  <si>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</si>
  <si>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</si>
  <si>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</si>
  <si>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</si>
  <si>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</si>
  <si>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</si>
  <si>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</si>
  <si>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</si>
  <si>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</si>
  <si>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</si>
  <si>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</si>
  <si>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</si>
  <si>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</si>
  <si>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</si>
  <si>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</si>
  <si>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</si>
  <si>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</si>
  <si>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</si>
  <si>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</si>
  <si>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</si>
  <si>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</si>
  <si>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</si>
  <si>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</si>
  <si>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</si>
  <si>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</si>
  <si>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</si>
  <si>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</si>
  <si>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</si>
  <si>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</si>
  <si>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</si>
  <si>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</si>
  <si>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</si>
  <si>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</si>
  <si>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</si>
  <si>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</si>
  <si>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</si>
  <si>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</si>
  <si>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</si>
  <si>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</si>
  <si>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</si>
  <si>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</si>
  <si>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</si>
  <si>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</si>
  <si>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</si>
  <si>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</si>
  <si>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</si>
  <si>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</si>
  <si>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</si>
  <si>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</si>
  <si>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</si>
  <si>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</si>
  <si>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</si>
  <si>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</si>
  <si>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</si>
  <si>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</si>
  <si>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</si>
  <si>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</si>
  <si>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</si>
  <si>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</si>
  <si>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</si>
  <si>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</si>
  <si>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</si>
  <si>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</si>
  <si>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</si>
  <si>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</si>
  <si>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</si>
  <si>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</si>
  <si>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</si>
  <si>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</si>
  <si>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</si>
  <si>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</si>
  <si>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</si>
  <si>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</si>
  <si>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</si>
  <si>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</si>
  <si>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</si>
  <si>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</si>
  <si>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</si>
  <si>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</si>
  <si>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</si>
  <si>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</si>
  <si>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</si>
  <si>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</si>
  <si>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</si>
  <si>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</si>
  <si>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</si>
  <si>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</si>
  <si>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</si>
  <si>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</si>
  <si>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</si>
  <si>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</si>
  <si>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</si>
  <si>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</si>
  <si>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</si>
  <si>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</si>
  <si>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</si>
  <si>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</si>
  <si>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</si>
  <si>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</si>
  <si>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</si>
  <si>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</si>
  <si>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</si>
  <si>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</si>
  <si>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</si>
  <si>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</si>
  <si>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</si>
  <si>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</si>
  <si>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</si>
  <si>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</si>
  <si>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</si>
  <si>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</si>
  <si>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</si>
  <si>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</si>
  <si>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</si>
  <si>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</si>
  <si>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</si>
  <si>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</si>
  <si>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</si>
  <si>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</si>
  <si>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</si>
  <si>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</si>
  <si>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</si>
  <si>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</si>
  <si>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</si>
  <si>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</si>
  <si>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</si>
  <si>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</si>
  <si>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</si>
  <si>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</si>
  <si>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</si>
  <si>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</si>
  <si>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</si>
  <si>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</si>
  <si>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</si>
  <si>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</si>
  <si>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</si>
  <si>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</si>
  <si>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</si>
  <si>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</si>
  <si>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</si>
  <si>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</si>
  <si>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</si>
  <si>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</si>
  <si>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</si>
  <si>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</si>
  <si>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</si>
  <si>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</si>
  <si>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</si>
  <si>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</si>
  <si>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</si>
  <si>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</si>
  <si>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</si>
  <si>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</si>
  <si>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</si>
  <si>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</si>
  <si>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</si>
  <si>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</si>
  <si>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</si>
  <si>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</si>
  <si>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</si>
  <si>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</si>
  <si>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</si>
  <si>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</si>
  <si>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</si>
  <si>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</si>
  <si>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</si>
  <si>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</si>
  <si>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</si>
  <si>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</si>
  <si>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</si>
  <si>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</si>
  <si>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</si>
  <si>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</si>
  <si>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</si>
  <si>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</si>
  <si>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</si>
  <si>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</si>
  <si>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</si>
  <si>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</si>
  <si>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</si>
  <si>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</si>
  <si>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</si>
  <si>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</si>
  <si>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</si>
  <si>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</si>
  <si>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</si>
  <si>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</si>
  <si>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</si>
  <si>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</si>
  <si>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</si>
  <si>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</si>
  <si>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</si>
  <si>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</si>
  <si>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</si>
  <si>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</si>
  <si>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</si>
  <si>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</si>
  <si>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</si>
  <si>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</si>
  <si>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</si>
  <si>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</si>
  <si>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</si>
  <si>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</si>
  <si>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</si>
  <si>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</si>
  <si>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</si>
  <si>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</si>
  <si>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</si>
  <si>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</si>
  <si>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</si>
  <si>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</si>
  <si>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</si>
  <si>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</si>
  <si>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</si>
  <si>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</si>
  <si>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</si>
  <si>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</si>
  <si>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</si>
  <si>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</si>
  <si>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</si>
  <si>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</si>
  <si>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</si>
  <si>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</si>
  <si>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</si>
  <si>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</si>
  <si>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</si>
  <si>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</si>
  <si>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</si>
  <si>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</si>
  <si>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</si>
  <si>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</si>
  <si>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</si>
  <si>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</si>
  <si>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</si>
  <si>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</si>
  <si>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</si>
  <si>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</si>
  <si>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</si>
  <si>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</si>
  <si>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</si>
  <si>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</si>
  <si>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</si>
  <si>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</si>
  <si>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</si>
  <si>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</si>
  <si>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</si>
  <si>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</si>
  <si>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</si>
  <si>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</si>
  <si>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</si>
  <si>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</si>
  <si>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</si>
  <si>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</si>
  <si>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</si>
  <si>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</si>
  <si>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</si>
  <si>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</si>
  <si>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</si>
  <si>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</si>
  <si>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</si>
  <si>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</si>
  <si>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</si>
  <si>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</si>
  <si>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</si>
  <si>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</si>
  <si>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</si>
  <si>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</si>
  <si>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</si>
  <si>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</si>
  <si>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</si>
  <si>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</si>
  <si>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</si>
  <si>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</si>
  <si>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</si>
  <si>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</si>
  <si>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</si>
  <si>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</si>
  <si>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</si>
  <si>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</si>
  <si>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</si>
  <si>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</si>
  <si>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</si>
  <si>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</si>
  <si>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</si>
  <si>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</si>
  <si>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</si>
  <si>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</si>
  <si>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</si>
  <si>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</si>
  <si>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</si>
  <si>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</si>
  <si>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</si>
  <si>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</si>
  <si>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</si>
  <si>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</si>
  <si>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</si>
  <si>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</si>
  <si>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</si>
  <si>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</si>
  <si>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</si>
  <si>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</si>
  <si>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</si>
  <si>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</si>
  <si>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</si>
  <si>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</si>
  <si>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</si>
  <si>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</si>
  <si>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</si>
  <si>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</si>
  <si>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</si>
  <si>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</si>
  <si>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</si>
  <si>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</si>
  <si>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</si>
  <si>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</si>
  <si>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</si>
  <si>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</si>
  <si>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</si>
  <si>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</si>
  <si>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</si>
  <si>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</si>
  <si>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</si>
  <si>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</si>
  <si>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</si>
  <si>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</si>
  <si>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</si>
  <si>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</si>
  <si>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</si>
  <si>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</si>
  <si>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</si>
  <si>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</si>
  <si>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</si>
  <si>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</si>
  <si>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</si>
  <si>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</si>
  <si>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</si>
  <si>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</si>
  <si>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</si>
  <si>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</si>
  <si>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</si>
  <si>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</si>
  <si>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</si>
  <si>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</si>
  <si>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</si>
  <si>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</si>
  <si>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</si>
  <si>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</si>
  <si>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</si>
  <si>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</si>
  <si>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</si>
  <si>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</si>
  <si>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</si>
  <si>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</si>
  <si>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Qorvo US, Inc.</t>
  </si>
  <si>
    <t>7628 Thorndike Rd, Greensboro, North Carolina, 27409</t>
  </si>
  <si>
    <t>Ashlee Raulston</t>
  </si>
  <si>
    <t>ashlee.raulston@qorvo.com</t>
  </si>
  <si>
    <t>Angie Hitchings</t>
  </si>
  <si>
    <t>Director, Supply Chain Architecture</t>
  </si>
  <si>
    <t>angie.hitchings@qorvo.com</t>
  </si>
  <si>
    <t>(336) 678-5920</t>
  </si>
  <si>
    <t>16-Mar-2021</t>
  </si>
  <si>
    <t>100%</t>
  </si>
  <si>
    <t/>
  </si>
  <si>
    <t>ICoNiChem</t>
  </si>
  <si>
    <t>CID003491</t>
  </si>
  <si>
    <t>04-544-4635</t>
  </si>
  <si>
    <t>DUNS</t>
  </si>
  <si>
    <t>(336) 678-7357</t>
  </si>
  <si>
    <t>Due diligence process is ongoing</t>
  </si>
  <si>
    <t>As the RMI's cobalt assessment program continues to grow, suppliers will be required to used validated smelters.</t>
  </si>
  <si>
    <t>https://www.qorvo.com/about-us/corporate-social-responsibility/our-program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</si>
</sst>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2">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4">
    <dxf>
      <fill>
        <patternFill>
          <bgColor rgb="FFFFFF00"/>
        </patternFill>
      </fill>
    </dxf>
    <dxf>
      <fill>
        <patternFill>
          <bgColor theme="0" tint="-0.49989318521683401"/>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qorvo.com/about-us/corporate-social-responsibility/our-progra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password="C246" sheet="1" objects="1" scenarios="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heetProtection password="C246" sheet="1" objects="1" scenarios="1"/>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sheetProtection password="C246" sheet="1" objects="1" scenarios="1"/>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password="C246" sheet="1" objects="1" scenarios="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password="C246" sheet="1" objects="1" scenarios="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workbookViewId="0">
      <selection activeCell="B2" sqref="B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0" t="s">
        <v>377</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Description of Scope:</v>
      </c>
      <c r="C10" s="132"/>
      <c r="D10" s="391"/>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7"/>
      <c r="C11" s="132"/>
      <c r="D11" s="398" t="str">
        <f ca="1">IF(D9=Q9,OFFSET(L!$C$1,MATCH("Declaration"&amp;ADDRESS(ROW(),COLUMN(),4),L!$A:$A,0)-1,SL,,),"")</f>
        <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8" t="s">
        <v>14073</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8" t="s">
        <v>14074</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8" t="s">
        <v>14061</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8" t="s">
        <v>14062</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5" t="s">
        <v>14063</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8" t="s">
        <v>14075</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8" t="s">
        <v>14064</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8" t="s">
        <v>14065</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5" t="s">
        <v>14066</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8" t="s">
        <v>14067</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3" t="s">
        <v>14068</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371</v>
      </c>
      <c r="E26" s="374"/>
      <c r="F26" s="10"/>
      <c r="G26" s="362"/>
      <c r="H26" s="363"/>
      <c r="I26" s="363"/>
      <c r="J26" s="36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t="s">
        <v>373</v>
      </c>
      <c r="E32" s="374"/>
      <c r="F32" s="46"/>
      <c r="G32" s="362" t="s">
        <v>14076</v>
      </c>
      <c r="H32" s="363"/>
      <c r="I32" s="363"/>
      <c r="J32" s="36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t="s">
        <v>372</v>
      </c>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t="s">
        <v>14069</v>
      </c>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1" t="s">
        <v>372</v>
      </c>
      <c r="E50" s="402"/>
      <c r="F50" s="46"/>
      <c r="G50" s="362" t="s">
        <v>14076</v>
      </c>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t="s">
        <v>371</v>
      </c>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8" t="str">
        <f ca="1">OFFSET(L!$C$1,MATCH("Declaration"&amp;ADDRESS(ROW(),COLUMN(),4),L!$A:$A,0)-1,SL,,)</f>
        <v>Answer the Following Questions at a Company Level</v>
      </c>
      <c r="C61" s="418"/>
      <c r="D61" s="418"/>
      <c r="E61" s="418"/>
      <c r="F61" s="418"/>
      <c r="G61" s="418"/>
      <c r="H61" s="418"/>
      <c r="I61" s="418"/>
      <c r="J61" s="41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371</v>
      </c>
      <c r="E63" s="374"/>
      <c r="F63" s="56"/>
      <c r="G63" s="362" t="s">
        <v>14078</v>
      </c>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3" t="s">
        <v>371</v>
      </c>
      <c r="E65" s="374"/>
      <c r="F65" s="56"/>
      <c r="G65" s="403"/>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371</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73" t="s">
        <v>371</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3" t="s">
        <v>372</v>
      </c>
      <c r="E71" s="374"/>
      <c r="F71" s="56"/>
      <c r="G71" s="362" t="s">
        <v>14077</v>
      </c>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3" t="s">
        <v>371</v>
      </c>
      <c r="E73" s="374"/>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73" t="s">
        <v>12572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19"/>
      <c r="H76" s="419"/>
      <c r="I76" s="419"/>
      <c r="J76" s="419"/>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3" t="s">
        <v>371</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7" t="str">
        <f>IF(OR($D$8="",$I$3=""),"","Click here to check required fields completion")</f>
        <v/>
      </c>
      <c r="C80" s="417"/>
      <c r="D80" s="417"/>
      <c r="E80" s="417"/>
      <c r="F80" s="417"/>
      <c r="G80" s="417"/>
      <c r="H80" s="417"/>
      <c r="I80" s="417"/>
      <c r="J80" s="41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password="C246" sheet="1" objects="1" scenarios="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75:E75 D71">
    <cfRule type="expression" dxfId="93" priority="60" stopIfTrue="1">
      <formula>OR($D$26="No",$D$26="Unknown")</formula>
    </cfRule>
    <cfRule type="expression" dxfId="92" priority="61" stopIfTrue="1">
      <formula>IF(D71="",TRUE)</formula>
    </cfRule>
  </conditionalFormatting>
  <conditionalFormatting sqref="D26:E26">
    <cfRule type="expression" dxfId="91" priority="112" stopIfTrue="1">
      <formula>IF($D$26="",TRUE)</formula>
    </cfRule>
  </conditionalFormatting>
  <conditionalFormatting sqref="D27:E27">
    <cfRule type="expression" dxfId="90" priority="119" stopIfTrue="1">
      <formula>IF($D$27="",TRUE)</formula>
    </cfRule>
  </conditionalFormatting>
  <conditionalFormatting sqref="D8:J8">
    <cfRule type="expression" dxfId="89" priority="126" stopIfTrue="1">
      <formula>IF($D$8="",TRUE)</formula>
    </cfRule>
  </conditionalFormatting>
  <conditionalFormatting sqref="D9:G9">
    <cfRule type="expression" dxfId="88" priority="127" stopIfTrue="1">
      <formula>IF($D$9="",TRUE)</formula>
    </cfRule>
  </conditionalFormatting>
  <conditionalFormatting sqref="D15:J15">
    <cfRule type="expression" dxfId="87" priority="128" stopIfTrue="1">
      <formula>IF($D$15="",TRUE)</formula>
    </cfRule>
  </conditionalFormatting>
  <conditionalFormatting sqref="D16:J16">
    <cfRule type="expression" dxfId="86" priority="129" stopIfTrue="1">
      <formula>IF($D$16="",TRUE)</formula>
    </cfRule>
  </conditionalFormatting>
  <conditionalFormatting sqref="D18:J18">
    <cfRule type="expression" dxfId="84" priority="131" stopIfTrue="1">
      <formula>IF($D$18="",TRUE)</formula>
    </cfRule>
  </conditionalFormatting>
  <conditionalFormatting sqref="D22:E22">
    <cfRule type="expression" dxfId="83" priority="134" stopIfTrue="1">
      <formula>IF($D$22="",TRUE)</formula>
    </cfRule>
  </conditionalFormatting>
  <conditionalFormatting sqref="D10:J10">
    <cfRule type="expression" dxfId="82" priority="31" stopIfTrue="1">
      <formula>IF($D$9=$Q$9,TRUE)</formula>
    </cfRule>
    <cfRule type="expression" dxfId="81" priority="141" stopIfTrue="1">
      <formula>IF(AND($D$10="",$D$9=$R$9),TRUE)</formula>
    </cfRule>
  </conditionalFormatting>
  <conditionalFormatting sqref="D34:E34 D40:E40 D46:E46 D52:E52 D58:E58">
    <cfRule type="expression" dxfId="80" priority="24" stopIfTrue="1">
      <formula>$P$28=""</formula>
    </cfRule>
  </conditionalFormatting>
  <conditionalFormatting sqref="D35:E35 D41:E41 D47:E47 D53:E53 D59:E59">
    <cfRule type="expression" dxfId="79" priority="139" stopIfTrue="1">
      <formula>$P$29=""</formula>
    </cfRule>
  </conditionalFormatting>
  <conditionalFormatting sqref="D34 D40 D46 D52 D58">
    <cfRule type="expression" dxfId="78" priority="137" stopIfTrue="1">
      <formula>IF(AND(OR($D$28="Yes",$D$28=""),D34=""),1,0)</formula>
    </cfRule>
  </conditionalFormatting>
  <conditionalFormatting sqref="D32:E32 D38:E38 D44:E44 D50:E50 D56:E56">
    <cfRule type="expression" dxfId="77" priority="28" stopIfTrue="1">
      <formula>IF(AND(OR($D$26="No",$D$26="Unknown"),D32=""),1,0)</formula>
    </cfRule>
    <cfRule type="expression" dxfId="76" priority="29" stopIfTrue="1">
      <formula>IF(AND(OR($D$26="Yes",$D$26=""),D32=""),1,0)</formula>
    </cfRule>
  </conditionalFormatting>
  <conditionalFormatting sqref="G73:J73">
    <cfRule type="expression" dxfId="75" priority="22" stopIfTrue="1">
      <formula>IF(AND($D$73="Yes, using other format (describe)",$G$73=""),TRUE)</formula>
    </cfRule>
  </conditionalFormatting>
  <conditionalFormatting sqref="D33:E33 D39:E39 D45:E45 D51:E51 D57:E57">
    <cfRule type="expression" dxfId="74" priority="135" stopIfTrue="1">
      <formula>$P$33=""</formula>
    </cfRule>
    <cfRule type="expression" dxfId="73" priority="136" stopIfTrue="1">
      <formula>IF(AND(OR($D$27="Yes",$D$27=""),D33=""),1,0)</formula>
    </cfRule>
  </conditionalFormatting>
  <conditionalFormatting sqref="D35:E35 D41:E41 D47:E47 D53:E53 D59:E59">
    <cfRule type="expression" dxfId="72" priority="140" stopIfTrue="1">
      <formula>IF(AND(OR($D$29="Yes",$D$29=""),D35=""),1,0)</formula>
    </cfRule>
  </conditionalFormatting>
  <conditionalFormatting sqref="D20:J20">
    <cfRule type="expression" dxfId="71" priority="10" stopIfTrue="1">
      <formula>IF($D$20="",TRUE)</formula>
    </cfRule>
  </conditionalFormatting>
  <conditionalFormatting sqref="D27 D33 D39 D45 D51 D57">
    <cfRule type="expression" dxfId="70" priority="9" stopIfTrue="1">
      <formula>IF($D$27="No",TRUE)</formula>
    </cfRule>
  </conditionalFormatting>
  <conditionalFormatting sqref="D28 D34 D40 D46 D52 D58">
    <cfRule type="expression" dxfId="69" priority="8">
      <formula>IF($D$28="No",TRUE)</formula>
    </cfRule>
  </conditionalFormatting>
  <conditionalFormatting sqref="D29 D35 D41 D47 D53 D59">
    <cfRule type="expression" dxfId="68" priority="7">
      <formula>IF($D$29="No",TRUE)</formula>
    </cfRule>
  </conditionalFormatting>
  <conditionalFormatting sqref="G63:J63">
    <cfRule type="expression" dxfId="67" priority="4">
      <formula>IF(AND($D$63="Yes",$G$63=""),TRUE)</formula>
    </cfRule>
  </conditionalFormatting>
  <conditionalFormatting sqref="G75:J75">
    <cfRule type="expression" dxfId="66" priority="3">
      <formula>IF(AND($D$75="Yes, using other format (describe)",$G$75=""),TRUE)</formula>
    </cfRule>
  </conditionalFormatting>
  <conditionalFormatting sqref="D79:E79 D77:E77 D73:E73 D69:E69 D67:E67 D65:E65 D63:E63">
    <cfRule type="expression" dxfId="1" priority="1" stopIfTrue="1">
      <formula>IF(AND(OR($D$26="No",$D$26="Unknown"),D63=""),1,0)</formula>
    </cfRule>
    <cfRule type="expression" dxfId="0" priority="2" stopIfTrue="1">
      <formula>IF(AND(OR($D$26="Yes",$D$26=""),D63=""),1,0)</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G63" r:id="rId1" xr:uid="{E1A0AE9A-7E08-4BA0-9AD5-1F49B7AFDB1A}"/>
  </hyperlinks>
  <pageMargins left="0.70866141732283505" right="0.70866141732283505" top="0.74803149606299202" bottom="0.74803149606299202" header="0.31496062992126" footer="0.31496062992126"/>
  <pageSetup scale="44" fitToHeight="0" orientation="portrait" r:id="rId2"/>
  <rowBreaks count="2" manualBreakCount="2">
    <brk id="52" max="11" man="1"/>
    <brk id="54"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23"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0"/>
      <c r="K2" s="421"/>
      <c r="L2" s="421"/>
      <c r="M2" s="421"/>
      <c r="N2" s="421"/>
      <c r="O2" s="421"/>
      <c r="P2" s="209"/>
      <c r="Q2" s="210"/>
      <c r="R2" s="211"/>
      <c r="S2" s="211"/>
      <c r="T2" s="211"/>
      <c r="U2" s="165"/>
      <c r="V2" s="165"/>
      <c r="W2" s="166"/>
      <c r="X2" s="165"/>
      <c r="Y2" s="165"/>
      <c r="Z2" s="165"/>
      <c r="AH2" s="153" t="s">
        <v>371</v>
      </c>
    </row>
    <row r="3" spans="1:34" s="20" customFormat="1" ht="241.15" customHeight="1">
      <c r="A3" s="280"/>
      <c r="B3" s="422"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2"/>
      <c r="D3" s="422"/>
      <c r="E3" s="422"/>
      <c r="F3" s="212"/>
      <c r="G3" s="423" t="str">
        <f ca="1">OFFSET(L!$C$1,MATCH("General"&amp;"Cpy",L!$A:$A,0)-1,SL,,)</f>
        <v>© 2020 Responsible Minerals Initiative. All rights reserved.</v>
      </c>
      <c r="H3" s="423"/>
      <c r="I3" s="424"/>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t="s">
        <v>12787</v>
      </c>
      <c r="B5" s="191" t="str">
        <f ca="1">IF(LEN(A5)=0,"",INDEX('Smelter Look-up'!$A:$A,MATCH($A5,'Smelter Look-up'!$E:$E,0)))</f>
        <v>Cobalt</v>
      </c>
      <c r="C5" s="197" t="str">
        <f ca="1">IF(LEN(A5)=0,"",INDEX('Smelter Look-up'!$C:$C,MATCH($A5,'Smelter Look-up'!$E:$E,0)))</f>
        <v>Compagnie de Tifnout Tiranimine</v>
      </c>
      <c r="D5" s="191"/>
      <c r="E5" s="191" t="str">
        <f ca="1">IF(ISERROR($V5),"",OFFSET('Smelter Look-up'!$D$4,$V5-4,0)&amp;"")</f>
        <v>MOROCCO</v>
      </c>
      <c r="F5" s="191" t="str">
        <f ca="1">IF(ISERROR($V5),"",OFFSET('Smelter Look-up'!$E$4,$V5-4,0))</f>
        <v>CID003280</v>
      </c>
      <c r="G5" s="191" t="str">
        <f ca="1">IF(C5=$X$4,"Enter smelter details",IF(ISERROR($V5),"",OFFSET('Smelter Look-up'!$F$4,$V5-4,0)))</f>
        <v>RMI</v>
      </c>
      <c r="H5" s="192" t="s">
        <v>14070</v>
      </c>
      <c r="I5" s="193" t="str">
        <f ca="1">IF(ISERROR($V5),"",OFFSET('Smelter Look-up'!$H$4,$V5-4,0))</f>
        <v>Marrakech</v>
      </c>
      <c r="J5" s="193" t="str">
        <f ca="1">IF(ISERROR($V5),"",OFFSET('Smelter Look-up'!$I$4,$V5-4,0))</f>
        <v>Marrakech-Safi</v>
      </c>
      <c r="K5" s="195" t="s">
        <v>14070</v>
      </c>
      <c r="L5" s="195" t="s">
        <v>14070</v>
      </c>
      <c r="M5" s="195" t="s">
        <v>14070</v>
      </c>
      <c r="N5" s="195" t="s">
        <v>14070</v>
      </c>
      <c r="O5" s="195" t="s">
        <v>373</v>
      </c>
      <c r="P5" s="194" t="s">
        <v>14070</v>
      </c>
      <c r="Q5" s="196" t="s">
        <v>14070</v>
      </c>
      <c r="R5" s="191" t="str">
        <f ca="1">IF(ISERROR($V5),"",OFFSET('Smelter Look-up'!$C$4,$V5-4,0)&amp;"")</f>
        <v>Compagnie de Tifnout Tiranimine</v>
      </c>
      <c r="S5" s="200" t="str">
        <f t="shared" ref="S5:S64" ca="1" si="0">IF(B5="","",IF(ISERROR(MATCH($E5,CL,0)),"Unknown",INDIRECT("'C'!$A$"&amp;MATCH($E5,CL,0)+1)))</f>
        <v>MA</v>
      </c>
      <c r="T5" s="200" t="str">
        <f ca="1">IF(B5="","",IF(ISERROR(MATCH($J5,SorP!$B$1:$B$6230,0)),"",INDIRECT("'SorP'!$A$"&amp;MATCH($J5,SorP!$B$1:$B$6230,0))))</f>
        <v>MA-07</v>
      </c>
      <c r="U5" s="217"/>
      <c r="V5" s="218">
        <f ca="1">IF(C5="",NA(),MATCH($B5&amp;$C5,'Smelter Look-up'!$J:$J,0))</f>
        <v>8</v>
      </c>
      <c r="W5" s="219"/>
      <c r="X5" s="219">
        <f t="shared" ref="X5:X63" ca="1" si="1">IF(AND(C5="Smelter not listed",OR(LEN(D5)=0,LEN(E5)=0)),1,0)</f>
        <v>0</v>
      </c>
      <c r="Y5" s="219"/>
      <c r="Z5" s="219"/>
      <c r="AB5" s="220" t="str">
        <f t="shared" ref="AB5:AB63" ca="1" si="2">B5&amp;C5</f>
        <v>CobaltCompagnie de Tifnout Tiranimine</v>
      </c>
    </row>
    <row r="6" spans="1:34" s="220" customFormat="1" ht="20.25">
      <c r="A6" s="276" t="s">
        <v>13808</v>
      </c>
      <c r="B6" s="191" t="str">
        <f ca="1">IF(LEN(A6)=0,"",INDEX('Smelter Look-up'!$A:$A,MATCH($A6,'Smelter Look-up'!$E:$E,0)))</f>
        <v>Cobalt</v>
      </c>
      <c r="C6" s="197" t="str">
        <f ca="1">IF(LEN(A6)=0,"",INDEX('Smelter Look-up'!$C:$C,MATCH($A6,'Smelter Look-up'!$E:$E,0)))</f>
        <v>Dynatec Madagascar Company</v>
      </c>
      <c r="D6" s="191"/>
      <c r="E6" s="191" t="str">
        <f ca="1">IF(ISERROR($V6),"",OFFSET('Smelter Look-up'!$D$4,$V6-4,0)&amp;"")</f>
        <v>MADAGASCAR</v>
      </c>
      <c r="F6" s="191" t="str">
        <f ca="1">IF(ISERROR($V6),"",OFFSET('Smelter Look-up'!$E$4,$V6-4,0))</f>
        <v>CID003232</v>
      </c>
      <c r="G6" s="191" t="str">
        <f ca="1">IF(C6=$X$4,"Enter smelter details",IF(ISERROR($V6),"",OFFSET('Smelter Look-up'!$F$4,$V6-4,0)))</f>
        <v>RMI</v>
      </c>
      <c r="H6" s="192" t="s">
        <v>14070</v>
      </c>
      <c r="I6" s="193" t="str">
        <f ca="1">IF(ISERROR($V6),"",OFFSET('Smelter Look-up'!$H$4,$V6-4,0))</f>
        <v>Toamasina</v>
      </c>
      <c r="J6" s="193" t="str">
        <f ca="1">IF(ISERROR($V6),"",OFFSET('Smelter Look-up'!$I$4,$V6-4,0))</f>
        <v>Toamasina</v>
      </c>
      <c r="K6" s="195" t="s">
        <v>14070</v>
      </c>
      <c r="L6" s="195" t="s">
        <v>14070</v>
      </c>
      <c r="M6" s="195" t="s">
        <v>14070</v>
      </c>
      <c r="N6" s="195" t="s">
        <v>14070</v>
      </c>
      <c r="O6" s="195" t="s">
        <v>373</v>
      </c>
      <c r="P6" s="194" t="s">
        <v>14070</v>
      </c>
      <c r="Q6" s="196" t="s">
        <v>14070</v>
      </c>
      <c r="R6" s="191" t="str">
        <f ca="1">IF(ISERROR($V6),"",OFFSET('Smelter Look-up'!$C$4,$V6-4,0)&amp;"")</f>
        <v>Dynatec Madagascar Company</v>
      </c>
      <c r="S6" s="200" t="str">
        <f t="shared" ca="1" si="0"/>
        <v>MG</v>
      </c>
      <c r="T6" s="200" t="str">
        <f ca="1">IF(B6="","",IF(ISERROR(MATCH($J6,SorP!$B$1:$B$6230,0)),"",INDIRECT("'SorP'!$A$"&amp;MATCH($J6,SorP!$B$1:$B$6230,0))))</f>
        <v>MG-A</v>
      </c>
      <c r="U6" s="217"/>
      <c r="V6" s="218">
        <f ca="1">IF(C6="",NA(),MATCH($B6&amp;$C6,'Smelter Look-up'!$J:$J,0))</f>
        <v>12</v>
      </c>
      <c r="W6" s="219"/>
      <c r="X6" s="219">
        <f t="shared" ca="1" si="1"/>
        <v>0</v>
      </c>
      <c r="Y6" s="219"/>
      <c r="Z6" s="219"/>
      <c r="AB6" s="220" t="str">
        <f t="shared" ca="1" si="2"/>
        <v>CobaltDynatec Madagascar Company</v>
      </c>
    </row>
    <row r="7" spans="1:34" s="220" customFormat="1" ht="20.25">
      <c r="A7" s="276" t="s">
        <v>12521</v>
      </c>
      <c r="B7" s="191" t="str">
        <f ca="1">IF(LEN(A7)=0,"",INDEX('Smelter Look-up'!$A:$A,MATCH($A7,'Smelter Look-up'!$E:$E,0)))</f>
        <v>Cobalt</v>
      </c>
      <c r="C7" s="197" t="str">
        <f ca="1">IF(LEN(A7)=0,"",INDEX('Smelter Look-up'!$C:$C,MATCH($A7,'Smelter Look-up'!$E:$E,0)))</f>
        <v>Fort Saskatchewan Metals Facility</v>
      </c>
      <c r="D7" s="191"/>
      <c r="E7" s="191" t="str">
        <f ca="1">IF(ISERROR($V7),"",OFFSET('Smelter Look-up'!$D$4,$V7-4,0)&amp;"")</f>
        <v>CANADA</v>
      </c>
      <c r="F7" s="191" t="str">
        <f ca="1">IF(ISERROR($V7),"",OFFSET('Smelter Look-up'!$E$4,$V7-4,0))</f>
        <v>CID003242</v>
      </c>
      <c r="G7" s="191" t="str">
        <f ca="1">IF(C7=$X$4,"Enter smelter details",IF(ISERROR($V7),"",OFFSET('Smelter Look-up'!$F$4,$V7-4,0)))</f>
        <v>RMI</v>
      </c>
      <c r="H7" s="192" t="s">
        <v>14070</v>
      </c>
      <c r="I7" s="193" t="str">
        <f ca="1">IF(ISERROR($V7),"",OFFSET('Smelter Look-up'!$H$4,$V7-4,0))</f>
        <v>Toronto</v>
      </c>
      <c r="J7" s="193" t="str">
        <f ca="1">IF(ISERROR($V7),"",OFFSET('Smelter Look-up'!$I$4,$V7-4,0))</f>
        <v>Ontario</v>
      </c>
      <c r="K7" s="195" t="s">
        <v>14070</v>
      </c>
      <c r="L7" s="195" t="s">
        <v>14070</v>
      </c>
      <c r="M7" s="195" t="s">
        <v>14070</v>
      </c>
      <c r="N7" s="195" t="s">
        <v>14070</v>
      </c>
      <c r="O7" s="195" t="s">
        <v>373</v>
      </c>
      <c r="P7" s="194" t="s">
        <v>14070</v>
      </c>
      <c r="Q7" s="196" t="s">
        <v>14070</v>
      </c>
      <c r="R7" s="191" t="str">
        <f ca="1">IF(ISERROR($V7),"",OFFSET('Smelter Look-up'!$C$4,$V7-4,0)&amp;"")</f>
        <v>Fort Saskatchewan Metals Facility</v>
      </c>
      <c r="S7" s="200" t="str">
        <f t="shared" ca="1" si="0"/>
        <v>CA</v>
      </c>
      <c r="T7" s="200" t="str">
        <f ca="1">IF(B7="","",IF(ISERROR(MATCH($J7,SorP!$B$1:$B$6230,0)),"",INDIRECT("'SorP'!$A$"&amp;MATCH($J7,SorP!$B$1:$B$6230,0))))</f>
        <v>CA-ON</v>
      </c>
      <c r="U7" s="217"/>
      <c r="V7" s="218">
        <f ca="1">IF(C7="",NA(),MATCH($B7&amp;$C7,'Smelter Look-up'!$J:$J,0))</f>
        <v>14</v>
      </c>
      <c r="W7" s="219"/>
      <c r="X7" s="219">
        <f t="shared" ca="1" si="1"/>
        <v>0</v>
      </c>
      <c r="Y7" s="219"/>
      <c r="Z7" s="219"/>
      <c r="AB7" s="220" t="str">
        <f t="shared" ca="1" si="2"/>
        <v>CobaltFort Saskatchewan Metals Facility</v>
      </c>
    </row>
    <row r="8" spans="1:34" s="220" customFormat="1" ht="20.25">
      <c r="A8" s="276" t="s">
        <v>12001</v>
      </c>
      <c r="B8" s="191" t="str">
        <f ca="1">IF(LEN(A8)=0,"",INDEX('Smelter Look-up'!$A:$A,MATCH($A8,'Smelter Look-up'!$E:$E,0)))</f>
        <v>Cobalt</v>
      </c>
      <c r="C8" s="197" t="str">
        <f ca="1">IF(LEN(A8)=0,"",INDEX('Smelter Look-up'!$C:$C,MATCH($A8,'Smelter Look-up'!$E:$E,0)))</f>
        <v>Gangzhou Yi Hao Umicore Industry Co.</v>
      </c>
      <c r="D8" s="191"/>
      <c r="E8" s="191" t="str">
        <f ca="1">IF(ISERROR($V8),"",OFFSET('Smelter Look-up'!$D$4,$V8-4,0)&amp;"")</f>
        <v>CHINA</v>
      </c>
      <c r="F8" s="191" t="str">
        <f ca="1">IF(ISERROR($V8),"",OFFSET('Smelter Look-up'!$E$4,$V8-4,0))</f>
        <v>CID003227</v>
      </c>
      <c r="G8" s="191" t="str">
        <f ca="1">IF(C8=$X$4,"Enter smelter details",IF(ISERROR($V8),"",OFFSET('Smelter Look-up'!$F$4,$V8-4,0)))</f>
        <v>RMI</v>
      </c>
      <c r="H8" s="192" t="s">
        <v>14070</v>
      </c>
      <c r="I8" s="193" t="str">
        <f ca="1">IF(ISERROR($V8),"",OFFSET('Smelter Look-up'!$H$4,$V8-4,0))</f>
        <v>Ganzhou</v>
      </c>
      <c r="J8" s="193" t="str">
        <f ca="1">IF(ISERROR($V8),"",OFFSET('Smelter Look-up'!$I$4,$V8-4,0))</f>
        <v>Jiangxi Sheng</v>
      </c>
      <c r="K8" s="195" t="s">
        <v>14070</v>
      </c>
      <c r="L8" s="195" t="s">
        <v>14070</v>
      </c>
      <c r="M8" s="195" t="s">
        <v>14070</v>
      </c>
      <c r="N8" s="195" t="s">
        <v>14070</v>
      </c>
      <c r="O8" s="195" t="s">
        <v>373</v>
      </c>
      <c r="P8" s="194" t="s">
        <v>14070</v>
      </c>
      <c r="Q8" s="196" t="s">
        <v>14070</v>
      </c>
      <c r="R8" s="191" t="str">
        <f ca="1">IF(ISERROR($V8),"",OFFSET('Smelter Look-up'!$C$4,$V8-4,0)&amp;"")</f>
        <v>Gangzhou Yi Hao Umicore Industry Co.</v>
      </c>
      <c r="S8" s="200" t="str">
        <f t="shared" ca="1" si="0"/>
        <v>CN</v>
      </c>
      <c r="T8" s="200" t="str">
        <f ca="1">IF(B8="","",IF(ISERROR(MATCH($J8,SorP!$B$1:$B$6230,0)),"",INDIRECT("'SorP'!$A$"&amp;MATCH($J8,SorP!$B$1:$B$6230,0))))</f>
        <v>CN-JX</v>
      </c>
      <c r="U8" s="217"/>
      <c r="V8" s="218">
        <f ca="1">IF(C8="",NA(),MATCH($B8&amp;$C8,'Smelter Look-up'!$J:$J,0))</f>
        <v>16</v>
      </c>
      <c r="W8" s="219"/>
      <c r="X8" s="219">
        <f t="shared" ca="1" si="1"/>
        <v>0</v>
      </c>
      <c r="Y8" s="219"/>
      <c r="Z8" s="219"/>
      <c r="AB8" s="220" t="str">
        <f t="shared" ca="1" si="2"/>
        <v>CobaltGangzhou Yi Hao Umicore Industry Co.</v>
      </c>
    </row>
    <row r="9" spans="1:34" s="220" customFormat="1" ht="20.25">
      <c r="A9" s="276" t="s">
        <v>12510</v>
      </c>
      <c r="B9" s="191" t="str">
        <f ca="1">IF(LEN(A9)=0,"",INDEX('Smelter Look-up'!$A:$A,MATCH($A9,'Smelter Look-up'!$E:$E,0)))</f>
        <v>Cobalt</v>
      </c>
      <c r="C9" s="197" t="str">
        <f ca="1">IF(LEN(A9)=0,"",INDEX('Smelter Look-up'!$C:$C,MATCH($A9,'Smelter Look-up'!$E:$E,0)))</f>
        <v>Ganzhou Highpower Technology Co., Ltd.</v>
      </c>
      <c r="D9" s="191"/>
      <c r="E9" s="191" t="str">
        <f ca="1">IF(ISERROR($V9),"",OFFSET('Smelter Look-up'!$D$4,$V9-4,0)&amp;"")</f>
        <v>CHINA</v>
      </c>
      <c r="F9" s="191" t="str">
        <f ca="1">IF(ISERROR($V9),"",OFFSET('Smelter Look-up'!$E$4,$V9-4,0))</f>
        <v>CID003384</v>
      </c>
      <c r="G9" s="191" t="str">
        <f ca="1">IF(C9=$X$4,"Enter smelter details",IF(ISERROR($V9),"",OFFSET('Smelter Look-up'!$F$4,$V9-4,0)))</f>
        <v>RMI</v>
      </c>
      <c r="H9" s="192" t="s">
        <v>14070</v>
      </c>
      <c r="I9" s="193" t="str">
        <f ca="1">IF(ISERROR($V9),"",OFFSET('Smelter Look-up'!$H$4,$V9-4,0))</f>
        <v>Ganzhou</v>
      </c>
      <c r="J9" s="193" t="str">
        <f ca="1">IF(ISERROR($V9),"",OFFSET('Smelter Look-up'!$I$4,$V9-4,0))</f>
        <v>Jiangxi Sheng</v>
      </c>
      <c r="K9" s="195" t="s">
        <v>14070</v>
      </c>
      <c r="L9" s="195" t="s">
        <v>14070</v>
      </c>
      <c r="M9" s="195" t="s">
        <v>14070</v>
      </c>
      <c r="N9" s="195" t="s">
        <v>14070</v>
      </c>
      <c r="O9" s="195" t="s">
        <v>373</v>
      </c>
      <c r="P9" s="194" t="s">
        <v>14070</v>
      </c>
      <c r="Q9" s="196" t="s">
        <v>14070</v>
      </c>
      <c r="R9" s="191" t="str">
        <f ca="1">IF(ISERROR($V9),"",OFFSET('Smelter Look-up'!$C$4,$V9-4,0)&amp;"")</f>
        <v>Ganzhou Highpower Technology Co., Ltd.</v>
      </c>
      <c r="S9" s="200" t="str">
        <f t="shared" ca="1" si="0"/>
        <v>CN</v>
      </c>
      <c r="T9" s="200" t="str">
        <f ca="1">IF(B9="","",IF(ISERROR(MATCH($J9,SorP!$B$1:$B$6230,0)),"",INDIRECT("'SorP'!$A$"&amp;MATCH($J9,SorP!$B$1:$B$6230,0))))</f>
        <v>CN-JX</v>
      </c>
      <c r="U9" s="217"/>
      <c r="V9" s="218">
        <f ca="1">IF(C9="",NA(),MATCH($B9&amp;$C9,'Smelter Look-up'!$J:$J,0))</f>
        <v>17</v>
      </c>
      <c r="W9" s="219"/>
      <c r="X9" s="219">
        <f t="shared" ca="1" si="1"/>
        <v>0</v>
      </c>
      <c r="Y9" s="219"/>
      <c r="Z9" s="219"/>
      <c r="AB9" s="220" t="str">
        <f t="shared" ca="1" si="2"/>
        <v>CobaltGanzhou Highpower Technology Co., Ltd.</v>
      </c>
    </row>
    <row r="10" spans="1:34" s="220" customFormat="1" ht="25.5">
      <c r="A10" s="276" t="s">
        <v>12538</v>
      </c>
      <c r="B10" s="191" t="str">
        <f ca="1">IF(LEN(A10)=0,"",INDEX('Smelter Look-up'!$A:$A,MATCH($A10,'Smelter Look-up'!$E:$E,0)))</f>
        <v>Cobalt</v>
      </c>
      <c r="C10" s="197" t="str">
        <f ca="1">IF(LEN(A10)=0,"",INDEX('Smelter Look-up'!$C:$C,MATCH($A10,'Smelter Look-up'!$E:$E,0)))</f>
        <v>Ganzhou Tengyuan Cobalt New Material Co., Ltd.</v>
      </c>
      <c r="D10" s="191"/>
      <c r="E10" s="191" t="str">
        <f ca="1">IF(ISERROR($V10),"",OFFSET('Smelter Look-up'!$D$4,$V10-4,0)&amp;"")</f>
        <v>CHINA</v>
      </c>
      <c r="F10" s="191" t="str">
        <f ca="1">IF(ISERROR($V10),"",OFFSET('Smelter Look-up'!$E$4,$V10-4,0))</f>
        <v>CID003212</v>
      </c>
      <c r="G10" s="191" t="str">
        <f ca="1">IF(C10=$X$4,"Enter smelter details",IF(ISERROR($V10),"",OFFSET('Smelter Look-up'!$F$4,$V10-4,0)))</f>
        <v>RMI</v>
      </c>
      <c r="H10" s="192" t="s">
        <v>14070</v>
      </c>
      <c r="I10" s="193" t="str">
        <f ca="1">IF(ISERROR($V10),"",OFFSET('Smelter Look-up'!$H$4,$V10-4,0))</f>
        <v>Ganzhou</v>
      </c>
      <c r="J10" s="193" t="str">
        <f ca="1">IF(ISERROR($V10),"",OFFSET('Smelter Look-up'!$I$4,$V10-4,0))</f>
        <v>Jiangxi Sheng</v>
      </c>
      <c r="K10" s="195" t="s">
        <v>14070</v>
      </c>
      <c r="L10" s="195" t="s">
        <v>14070</v>
      </c>
      <c r="M10" s="195" t="s">
        <v>14070</v>
      </c>
      <c r="N10" s="195" t="s">
        <v>14070</v>
      </c>
      <c r="O10" s="195" t="s">
        <v>373</v>
      </c>
      <c r="P10" s="194" t="s">
        <v>14070</v>
      </c>
      <c r="Q10" s="196" t="s">
        <v>14070</v>
      </c>
      <c r="R10" s="191" t="str">
        <f ca="1">IF(ISERROR($V10),"",OFFSET('Smelter Look-up'!$C$4,$V10-4,0)&amp;"")</f>
        <v>Ganzhou Tengyuan Cobalt New Material Co., Ltd.</v>
      </c>
      <c r="S10" s="200" t="str">
        <f t="shared" ca="1" si="0"/>
        <v>CN</v>
      </c>
      <c r="T10" s="200" t="str">
        <f ca="1">IF(B10="","",IF(ISERROR(MATCH($J10,SorP!$B$1:$B$6230,0)),"",INDIRECT("'SorP'!$A$"&amp;MATCH($J10,SorP!$B$1:$B$6230,0))))</f>
        <v>CN-JX</v>
      </c>
      <c r="U10" s="217"/>
      <c r="V10" s="218">
        <f ca="1">IF(C10="",NA(),MATCH($B10&amp;$C10,'Smelter Look-up'!$J:$J,0))</f>
        <v>18</v>
      </c>
      <c r="W10" s="219"/>
      <c r="X10" s="219">
        <f t="shared" ca="1" si="1"/>
        <v>0</v>
      </c>
      <c r="Y10" s="219"/>
      <c r="Z10" s="219"/>
      <c r="AB10" s="220" t="str">
        <f t="shared" ca="1" si="2"/>
        <v>CobaltGanzhou Tengyuan Cobalt New Material Co., Ltd.</v>
      </c>
    </row>
    <row r="11" spans="1:34" s="220" customFormat="1" ht="20.25">
      <c r="A11" s="276" t="s">
        <v>11999</v>
      </c>
      <c r="B11" s="191" t="str">
        <f ca="1">IF(LEN(A11)=0,"",INDEX('Smelter Look-up'!$A:$A,MATCH($A11,'Smelter Look-up'!$E:$E,0)))</f>
        <v>Cobalt</v>
      </c>
      <c r="C11" s="197" t="str">
        <f ca="1">IF(LEN(A11)=0,"",INDEX('Smelter Look-up'!$C:$C,MATCH($A11,'Smelter Look-up'!$E:$E,0)))</f>
        <v>Gem (Jiangsu) Cobalt Industry Co., Ltd.</v>
      </c>
      <c r="D11" s="191"/>
      <c r="E11" s="191" t="str">
        <f ca="1">IF(ISERROR($V11),"",OFFSET('Smelter Look-up'!$D$4,$V11-4,0)&amp;"")</f>
        <v>CHINA</v>
      </c>
      <c r="F11" s="191" t="str">
        <f ca="1">IF(ISERROR($V11),"",OFFSET('Smelter Look-up'!$E$4,$V11-4,0))</f>
        <v>CID003209</v>
      </c>
      <c r="G11" s="191" t="str">
        <f ca="1">IF(C11=$X$4,"Enter smelter details",IF(ISERROR($V11),"",OFFSET('Smelter Look-up'!$F$4,$V11-4,0)))</f>
        <v>RMI</v>
      </c>
      <c r="H11" s="192" t="s">
        <v>14070</v>
      </c>
      <c r="I11" s="193" t="str">
        <f ca="1">IF(ISERROR($V11),"",OFFSET('Smelter Look-up'!$H$4,$V11-4,0))</f>
        <v>Taixing</v>
      </c>
      <c r="J11" s="193" t="str">
        <f ca="1">IF(ISERROR($V11),"",OFFSET('Smelter Look-up'!$I$4,$V11-4,0))</f>
        <v>Jiangsu Sheng</v>
      </c>
      <c r="K11" s="195" t="s">
        <v>14070</v>
      </c>
      <c r="L11" s="195" t="s">
        <v>14070</v>
      </c>
      <c r="M11" s="195" t="s">
        <v>14070</v>
      </c>
      <c r="N11" s="195" t="s">
        <v>14070</v>
      </c>
      <c r="O11" s="195" t="s">
        <v>373</v>
      </c>
      <c r="P11" s="194" t="s">
        <v>14070</v>
      </c>
      <c r="Q11" s="196" t="s">
        <v>14070</v>
      </c>
      <c r="R11" s="191" t="str">
        <f ca="1">IF(ISERROR($V11),"",OFFSET('Smelter Look-up'!$C$4,$V11-4,0)&amp;"")</f>
        <v>Gem (Jiangsu) Cobalt Industry Co., Ltd.</v>
      </c>
      <c r="S11" s="200" t="str">
        <f t="shared" ca="1" si="0"/>
        <v>CN</v>
      </c>
      <c r="T11" s="200" t="str">
        <f ca="1">IF(B11="","",IF(ISERROR(MATCH($J11,SorP!$B$1:$B$6230,0)),"",INDIRECT("'SorP'!$A$"&amp;MATCH($J11,SorP!$B$1:$B$6230,0))))</f>
        <v>CN-JS</v>
      </c>
      <c r="U11" s="217"/>
      <c r="V11" s="218">
        <f ca="1">IF(C11="",NA(),MATCH($B11&amp;$C11,'Smelter Look-up'!$J:$J,0))</f>
        <v>19</v>
      </c>
      <c r="W11" s="219"/>
      <c r="X11" s="219">
        <f t="shared" ca="1" si="1"/>
        <v>0</v>
      </c>
      <c r="Y11" s="219"/>
      <c r="Z11" s="219"/>
      <c r="AB11" s="220" t="str">
        <f t="shared" ca="1" si="2"/>
        <v>CobaltGem (Jiangsu) Cobalt Industry Co., Ltd.</v>
      </c>
    </row>
    <row r="12" spans="1:34" s="220" customFormat="1" ht="20.25">
      <c r="A12" s="277" t="s">
        <v>12546</v>
      </c>
      <c r="B12" s="191" t="str">
        <f ca="1">IF(LEN(A12)=0,"",INDEX('Smelter Look-up'!$A:$A,MATCH($A12,'Smelter Look-up'!$E:$E,0)))</f>
        <v>Cobalt</v>
      </c>
      <c r="C12" s="197" t="str">
        <f ca="1">IF(LEN(A12)=0,"",INDEX('Smelter Look-up'!$C:$C,MATCH($A12,'Smelter Look-up'!$E:$E,0)))</f>
        <v>Glencore Nikkelverk Refinery</v>
      </c>
      <c r="D12" s="191"/>
      <c r="E12" s="191" t="str">
        <f ca="1">IF(ISERROR($V12),"",OFFSET('Smelter Look-up'!$D$4,$V12-4,0)&amp;"")</f>
        <v>NORWAY</v>
      </c>
      <c r="F12" s="191" t="str">
        <f ca="1">IF(ISERROR($V12),"",OFFSET('Smelter Look-up'!$E$4,$V12-4,0))</f>
        <v>CID003403</v>
      </c>
      <c r="G12" s="191" t="str">
        <f ca="1">IF(C12=$X$4,"Enter smelter details",IF(ISERROR($V12),"",OFFSET('Smelter Look-up'!$F$4,$V12-4,0)))</f>
        <v>RMI</v>
      </c>
      <c r="H12" s="192" t="s">
        <v>14070</v>
      </c>
      <c r="I12" s="193" t="str">
        <f ca="1">IF(ISERROR($V12),"",OFFSET('Smelter Look-up'!$H$4,$V12-4,0))</f>
        <v>Kristiansand</v>
      </c>
      <c r="J12" s="193" t="str">
        <f ca="1">IF(ISERROR($V12),"",OFFSET('Smelter Look-up'!$I$4,$V12-4,0))</f>
        <v>Aust-Agder</v>
      </c>
      <c r="K12" s="195" t="s">
        <v>14070</v>
      </c>
      <c r="L12" s="195" t="s">
        <v>14070</v>
      </c>
      <c r="M12" s="195" t="s">
        <v>14070</v>
      </c>
      <c r="N12" s="195" t="s">
        <v>14070</v>
      </c>
      <c r="O12" s="195" t="s">
        <v>373</v>
      </c>
      <c r="P12" s="194" t="s">
        <v>14070</v>
      </c>
      <c r="Q12" s="196" t="s">
        <v>14070</v>
      </c>
      <c r="R12" s="191" t="str">
        <f ca="1">IF(ISERROR($V12),"",OFFSET('Smelter Look-up'!$C$4,$V12-4,0)&amp;"")</f>
        <v>Glencore Nikkelverk Refinery</v>
      </c>
      <c r="S12" s="200" t="str">
        <f t="shared" ca="1" si="0"/>
        <v>NO</v>
      </c>
      <c r="T12" s="200" t="str">
        <f ca="1">IF(B12="","",IF(ISERROR(MATCH($J12,SorP!$B$1:$B$6230,0)),"",INDIRECT("'SorP'!$A$"&amp;MATCH($J12,SorP!$B$1:$B$6230,0))))</f>
        <v>NO-09</v>
      </c>
      <c r="U12" s="217"/>
      <c r="V12" s="218">
        <f ca="1">IF(C12="",NA(),MATCH($B12&amp;$C12,'Smelter Look-up'!$J:$J,0))</f>
        <v>20</v>
      </c>
      <c r="W12" s="219"/>
      <c r="X12" s="219">
        <f t="shared" ca="1" si="1"/>
        <v>0</v>
      </c>
      <c r="Y12" s="219"/>
      <c r="Z12" s="219"/>
      <c r="AB12" s="220" t="str">
        <f t="shared" ca="1" si="2"/>
        <v>CobaltGlencore Nikkelverk Refinery</v>
      </c>
    </row>
    <row r="13" spans="1:34" s="220" customFormat="1" ht="20.25">
      <c r="A13" s="276" t="s">
        <v>12512</v>
      </c>
      <c r="B13" s="191" t="str">
        <f ca="1">IF(LEN(A13)=0,"",INDEX('Smelter Look-up'!$A:$A,MATCH($A13,'Smelter Look-up'!$E:$E,0)))</f>
        <v>Cobalt</v>
      </c>
      <c r="C13" s="197" t="str">
        <f ca="1">IF(LEN(A13)=0,"",INDEX('Smelter Look-up'!$C:$C,MATCH($A13,'Smelter Look-up'!$E:$E,0)))</f>
        <v>Guangdong Jiana Energy Technology Co., Ltd.</v>
      </c>
      <c r="D13" s="191"/>
      <c r="E13" s="191" t="str">
        <f ca="1">IF(ISERROR($V13),"",OFFSET('Smelter Look-up'!$D$4,$V13-4,0)&amp;"")</f>
        <v>CHINA</v>
      </c>
      <c r="F13" s="191" t="str">
        <f ca="1">IF(ISERROR($V13),"",OFFSET('Smelter Look-up'!$E$4,$V13-4,0))</f>
        <v>CID003291</v>
      </c>
      <c r="G13" s="191" t="str">
        <f ca="1">IF(C13=$X$4,"Enter smelter details",IF(ISERROR($V13),"",OFFSET('Smelter Look-up'!$F$4,$V13-4,0)))</f>
        <v>RMI</v>
      </c>
      <c r="H13" s="192" t="s">
        <v>14070</v>
      </c>
      <c r="I13" s="193" t="str">
        <f ca="1">IF(ISERROR($V13),"",OFFSET('Smelter Look-up'!$H$4,$V13-4,0))</f>
        <v>Guangzhou</v>
      </c>
      <c r="J13" s="193" t="str">
        <f ca="1">IF(ISERROR($V13),"",OFFSET('Smelter Look-up'!$I$4,$V13-4,0))</f>
        <v>Guangdong Sheng</v>
      </c>
      <c r="K13" s="195" t="s">
        <v>14070</v>
      </c>
      <c r="L13" s="195" t="s">
        <v>14070</v>
      </c>
      <c r="M13" s="195" t="s">
        <v>14070</v>
      </c>
      <c r="N13" s="195" t="s">
        <v>14070</v>
      </c>
      <c r="O13" s="195" t="s">
        <v>373</v>
      </c>
      <c r="P13" s="194" t="s">
        <v>14070</v>
      </c>
      <c r="Q13" s="196" t="s">
        <v>14070</v>
      </c>
      <c r="R13" s="191" t="str">
        <f ca="1">IF(ISERROR($V13),"",OFFSET('Smelter Look-up'!$C$4,$V13-4,0)&amp;"")</f>
        <v>Guangdong Jiana Energy Technology Co., Ltd.</v>
      </c>
      <c r="S13" s="200" t="str">
        <f t="shared" ca="1" si="0"/>
        <v>CN</v>
      </c>
      <c r="T13" s="200" t="str">
        <f ca="1">IF(B13="","",IF(ISERROR(MATCH($J13,SorP!$B$1:$B$6230,0)),"",INDIRECT("'SorP'!$A$"&amp;MATCH($J13,SorP!$B$1:$B$6230,0))))</f>
        <v>CN-GD</v>
      </c>
      <c r="U13" s="217"/>
      <c r="V13" s="218">
        <f ca="1">IF(C13="",NA(),MATCH($B13&amp;$C13,'Smelter Look-up'!$J:$J,0))</f>
        <v>21</v>
      </c>
      <c r="W13" s="219"/>
      <c r="X13" s="219">
        <f t="shared" ca="1" si="1"/>
        <v>0</v>
      </c>
      <c r="Y13" s="219"/>
      <c r="Z13" s="219"/>
      <c r="AB13" s="220" t="str">
        <f t="shared" ca="1" si="2"/>
        <v>CobaltGuangdong Jiana Energy Technology Co., Ltd.</v>
      </c>
    </row>
    <row r="14" spans="1:34" s="220" customFormat="1" ht="25.5">
      <c r="A14" s="276" t="s">
        <v>12254</v>
      </c>
      <c r="B14" s="191" t="str">
        <f ca="1">IF(LEN(A14)=0,"",INDEX('Smelter Look-up'!$A:$A,MATCH($A14,'Smelter Look-up'!$E:$E,0)))</f>
        <v>Cobalt</v>
      </c>
      <c r="C14" s="197" t="str">
        <f ca="1">IF(LEN(A14)=0,"",INDEX('Smelter Look-up'!$C:$C,MATCH($A14,'Smelter Look-up'!$E:$E,0)))</f>
        <v>Guangxi Yinyi Advanced Material Co., Ltd.</v>
      </c>
      <c r="D14" s="191"/>
      <c r="E14" s="191" t="str">
        <f ca="1">IF(ISERROR($V14),"",OFFSET('Smelter Look-up'!$D$4,$V14-4,0)&amp;"")</f>
        <v>CHINA</v>
      </c>
      <c r="F14" s="191" t="str">
        <f ca="1">IF(ISERROR($V14),"",OFFSET('Smelter Look-up'!$E$4,$V14-4,0))</f>
        <v>CID003213</v>
      </c>
      <c r="G14" s="191" t="str">
        <f ca="1">IF(C14=$X$4,"Enter smelter details",IF(ISERROR($V14),"",OFFSET('Smelter Look-up'!$F$4,$V14-4,0)))</f>
        <v>RMI</v>
      </c>
      <c r="H14" s="192" t="s">
        <v>14070</v>
      </c>
      <c r="I14" s="193" t="str">
        <f ca="1">IF(ISERROR($V14),"",OFFSET('Smelter Look-up'!$H$4,$V14-4,0))</f>
        <v>Yulin</v>
      </c>
      <c r="J14" s="193" t="str">
        <f ca="1">IF(ISERROR($V14),"",OFFSET('Smelter Look-up'!$I$4,$V14-4,0))</f>
        <v>Guangxi Zhuangzu Zizhiqu</v>
      </c>
      <c r="K14" s="195" t="s">
        <v>14070</v>
      </c>
      <c r="L14" s="195" t="s">
        <v>14070</v>
      </c>
      <c r="M14" s="195" t="s">
        <v>14070</v>
      </c>
      <c r="N14" s="195" t="s">
        <v>14070</v>
      </c>
      <c r="O14" s="195" t="s">
        <v>373</v>
      </c>
      <c r="P14" s="194" t="s">
        <v>14070</v>
      </c>
      <c r="Q14" s="196" t="s">
        <v>14070</v>
      </c>
      <c r="R14" s="191" t="str">
        <f ca="1">IF(ISERROR($V14),"",OFFSET('Smelter Look-up'!$C$4,$V14-4,0)&amp;"")</f>
        <v>Guangxi Yinyi Advanced Material Co., Ltd.</v>
      </c>
      <c r="S14" s="200" t="str">
        <f t="shared" ca="1" si="0"/>
        <v>CN</v>
      </c>
      <c r="T14" s="200" t="str">
        <f ca="1">IF(B14="","",IF(ISERROR(MATCH($J14,SorP!$B$1:$B$6230,0)),"",INDIRECT("'SorP'!$A$"&amp;MATCH($J14,SorP!$B$1:$B$6230,0))))</f>
        <v>CN-GX</v>
      </c>
      <c r="U14" s="217"/>
      <c r="V14" s="218">
        <f ca="1">IF(C14="",NA(),MATCH($B14&amp;$C14,'Smelter Look-up'!$J:$J,0))</f>
        <v>22</v>
      </c>
      <c r="W14" s="219"/>
      <c r="X14" s="219">
        <f t="shared" ca="1" si="1"/>
        <v>0</v>
      </c>
      <c r="Y14" s="219"/>
      <c r="Z14" s="219"/>
      <c r="AB14" s="220" t="str">
        <f t="shared" ca="1" si="2"/>
        <v>CobaltGuangxi Yinyi Advanced Material Co., Ltd.</v>
      </c>
    </row>
    <row r="15" spans="1:34" s="220" customFormat="1" ht="20.25">
      <c r="A15" s="277" t="s">
        <v>12000</v>
      </c>
      <c r="B15" s="191" t="str">
        <f ca="1">IF(LEN(A15)=0,"",INDEX('Smelter Look-up'!$A:$A,MATCH($A15,'Smelter Look-up'!$E:$E,0)))</f>
        <v>Cobalt</v>
      </c>
      <c r="C15" s="197" t="str">
        <f ca="1">IF(LEN(A15)=0,"",INDEX('Smelter Look-up'!$C:$C,MATCH($A15,'Smelter Look-up'!$E:$E,0)))</f>
        <v>Hunan Brunp Recycling Technology Co., Ltd.</v>
      </c>
      <c r="D15" s="191"/>
      <c r="E15" s="191" t="str">
        <f ca="1">IF(ISERROR($V15),"",OFFSET('Smelter Look-up'!$D$4,$V15-4,0)&amp;"")</f>
        <v>CHINA</v>
      </c>
      <c r="F15" s="191" t="str">
        <f ca="1">IF(ISERROR($V15),"",OFFSET('Smelter Look-up'!$E$4,$V15-4,0))</f>
        <v>CID003219</v>
      </c>
      <c r="G15" s="191" t="str">
        <f ca="1">IF(C15=$X$4,"Enter smelter details",IF(ISERROR($V15),"",OFFSET('Smelter Look-up'!$F$4,$V15-4,0)))</f>
        <v>RMI</v>
      </c>
      <c r="H15" s="192" t="s">
        <v>14070</v>
      </c>
      <c r="I15" s="193" t="str">
        <f ca="1">IF(ISERROR($V15),"",OFFSET('Smelter Look-up'!$H$4,$V15-4,0))</f>
        <v>Changsha</v>
      </c>
      <c r="J15" s="193" t="str">
        <f ca="1">IF(ISERROR($V15),"",OFFSET('Smelter Look-up'!$I$4,$V15-4,0))</f>
        <v>Hunan Sheng</v>
      </c>
      <c r="K15" s="195" t="s">
        <v>14070</v>
      </c>
      <c r="L15" s="195" t="s">
        <v>14070</v>
      </c>
      <c r="M15" s="195" t="s">
        <v>14070</v>
      </c>
      <c r="N15" s="195" t="s">
        <v>14070</v>
      </c>
      <c r="O15" s="195" t="s">
        <v>373</v>
      </c>
      <c r="P15" s="194" t="s">
        <v>14070</v>
      </c>
      <c r="Q15" s="196" t="s">
        <v>14070</v>
      </c>
      <c r="R15" s="191" t="str">
        <f ca="1">IF(ISERROR($V15),"",OFFSET('Smelter Look-up'!$C$4,$V15-4,0)&amp;"")</f>
        <v>Hunan Brunp Recycling Technology Co., Ltd.</v>
      </c>
      <c r="S15" s="200" t="str">
        <f t="shared" ca="1" si="0"/>
        <v>CN</v>
      </c>
      <c r="T15" s="200" t="str">
        <f ca="1">IF(B15="","",IF(ISERROR(MATCH($J15,SorP!$B$1:$B$6230,0)),"",INDIRECT("'SorP'!$A$"&amp;MATCH($J15,SorP!$B$1:$B$6230,0))))</f>
        <v>CN-HN</v>
      </c>
      <c r="U15" s="217"/>
      <c r="V15" s="218">
        <f ca="1">IF(C15="",NA(),MATCH($B15&amp;$C15,'Smelter Look-up'!$J:$J,0))</f>
        <v>23</v>
      </c>
      <c r="W15" s="219"/>
      <c r="X15" s="219">
        <f t="shared" ca="1" si="1"/>
        <v>0</v>
      </c>
      <c r="Y15" s="219"/>
      <c r="Z15" s="219"/>
      <c r="AB15" s="220" t="str">
        <f t="shared" ca="1" si="2"/>
        <v>CobaltHunan Brunp Recycling Technology Co., Ltd.</v>
      </c>
    </row>
    <row r="16" spans="1:34" s="220" customFormat="1" ht="25.5">
      <c r="A16" s="277" t="s">
        <v>12790</v>
      </c>
      <c r="B16" s="191" t="str">
        <f ca="1">IF(LEN(A16)=0,"",INDEX('Smelter Look-up'!$A:$A,MATCH($A16,'Smelter Look-up'!$E:$E,0)))</f>
        <v>Cobalt</v>
      </c>
      <c r="C16" s="197" t="str">
        <f ca="1">IF(LEN(A16)=0,"",INDEX('Smelter Look-up'!$C:$C,MATCH($A16,'Smelter Look-up'!$E:$E,0)))</f>
        <v>Hunan Zoomwe New Energy Science &amp; Technology Co., Ltd.</v>
      </c>
      <c r="D16" s="191"/>
      <c r="E16" s="191" t="str">
        <f ca="1">IF(ISERROR($V16),"",OFFSET('Smelter Look-up'!$D$4,$V16-4,0)&amp;"")</f>
        <v>CHINA</v>
      </c>
      <c r="F16" s="191" t="str">
        <f ca="1">IF(ISERROR($V16),"",OFFSET('Smelter Look-up'!$E$4,$V16-4,0))</f>
        <v>CID003411</v>
      </c>
      <c r="G16" s="191" t="str">
        <f ca="1">IF(C16=$X$4,"Enter smelter details",IF(ISERROR($V16),"",OFFSET('Smelter Look-up'!$F$4,$V16-4,0)))</f>
        <v>RMI</v>
      </c>
      <c r="H16" s="192" t="s">
        <v>14070</v>
      </c>
      <c r="I16" s="193" t="str">
        <f ca="1">IF(ISERROR($V16),"",OFFSET('Smelter Look-up'!$H$4,$V16-4,0))</f>
        <v>Changsha</v>
      </c>
      <c r="J16" s="193" t="str">
        <f ca="1">IF(ISERROR($V16),"",OFFSET('Smelter Look-up'!$I$4,$V16-4,0))</f>
        <v>Hunan Sheng</v>
      </c>
      <c r="K16" s="195" t="s">
        <v>14070</v>
      </c>
      <c r="L16" s="195" t="s">
        <v>14070</v>
      </c>
      <c r="M16" s="195" t="s">
        <v>14070</v>
      </c>
      <c r="N16" s="195" t="s">
        <v>14070</v>
      </c>
      <c r="O16" s="195" t="s">
        <v>373</v>
      </c>
      <c r="P16" s="194" t="s">
        <v>14070</v>
      </c>
      <c r="Q16" s="196" t="s">
        <v>14070</v>
      </c>
      <c r="R16" s="191" t="str">
        <f ca="1">IF(ISERROR($V16),"",OFFSET('Smelter Look-up'!$C$4,$V16-4,0)&amp;"")</f>
        <v>Hunan Zoomwe New Energy Science &amp; Technology Co., Ltd.</v>
      </c>
      <c r="S16" s="200" t="str">
        <f t="shared" ca="1" si="0"/>
        <v>CN</v>
      </c>
      <c r="T16" s="200" t="str">
        <f ca="1">IF(B16="","",IF(ISERROR(MATCH($J16,SorP!$B$1:$B$6230,0)),"",INDIRECT("'SorP'!$A$"&amp;MATCH($J16,SorP!$B$1:$B$6230,0))))</f>
        <v>CN-HN</v>
      </c>
      <c r="U16" s="217"/>
      <c r="V16" s="218">
        <f ca="1">IF(C16="",NA(),MATCH($B16&amp;$C16,'Smelter Look-up'!$J:$J,0))</f>
        <v>28</v>
      </c>
      <c r="W16" s="219"/>
      <c r="X16" s="219">
        <f t="shared" ca="1" si="1"/>
        <v>0</v>
      </c>
      <c r="Y16" s="219"/>
      <c r="Z16" s="219"/>
      <c r="AB16" s="220" t="str">
        <f t="shared" ca="1" si="2"/>
        <v>CobaltHunan Zoomwe New Energy Science &amp; Technology Co., Ltd.</v>
      </c>
    </row>
    <row r="17" spans="1:28" s="220" customFormat="1" ht="38.25">
      <c r="A17" s="276"/>
      <c r="B17" s="191" t="s">
        <v>11650</v>
      </c>
      <c r="C17" s="197" t="s">
        <v>13912</v>
      </c>
      <c r="D17" s="191" t="s">
        <v>14071</v>
      </c>
      <c r="E17" s="191" t="s">
        <v>13876</v>
      </c>
      <c r="F17" s="191" t="s">
        <v>14072</v>
      </c>
      <c r="G17" s="191" t="s">
        <v>11911</v>
      </c>
      <c r="H17" s="192" t="s">
        <v>14070</v>
      </c>
      <c r="I17" s="193" t="s">
        <v>14070</v>
      </c>
      <c r="J17" s="193" t="s">
        <v>14070</v>
      </c>
      <c r="K17" s="195" t="s">
        <v>14070</v>
      </c>
      <c r="L17" s="195" t="s">
        <v>14070</v>
      </c>
      <c r="M17" s="195" t="s">
        <v>14070</v>
      </c>
      <c r="N17" s="195" t="s">
        <v>14070</v>
      </c>
      <c r="O17" s="195" t="s">
        <v>373</v>
      </c>
      <c r="P17" s="194" t="s">
        <v>14070</v>
      </c>
      <c r="Q17" s="196" t="s">
        <v>14070</v>
      </c>
      <c r="R17" s="191" t="str">
        <f ca="1">IF(ISERROR($V17),"",OFFSET('Smelter Look-up'!$C$4,$V17-4,0)&amp;"")</f>
        <v/>
      </c>
      <c r="S17" s="200" t="str">
        <f t="shared" ca="1" si="0"/>
        <v>GB</v>
      </c>
      <c r="T17" s="200" t="str">
        <f ca="1">IF(B17="","",IF(ISERROR(MATCH($J17,SorP!$B$1:$B$6230,0)),"",INDIRECT("'SorP'!$A$"&amp;MATCH($J17,SorP!$B$1:$B$6230,0))))</f>
        <v/>
      </c>
      <c r="U17" s="217"/>
      <c r="V17" s="218" t="e">
        <f>IF(C17="",NA(),MATCH($B17&amp;$C17,'Smelter Look-up'!$J:$J,0))</f>
        <v>#N/A</v>
      </c>
      <c r="W17" s="219"/>
      <c r="X17" s="219">
        <f t="shared" si="1"/>
        <v>0</v>
      </c>
      <c r="Y17" s="219"/>
      <c r="Z17" s="219"/>
      <c r="AB17" s="220" t="str">
        <f t="shared" si="2"/>
        <v>CobaltSmelter not listed</v>
      </c>
    </row>
    <row r="18" spans="1:28" s="220" customFormat="1" ht="20.25">
      <c r="A18" s="276" t="s">
        <v>12514</v>
      </c>
      <c r="B18" s="191" t="str">
        <f ca="1">IF(LEN(A18)=0,"",INDEX('Smelter Look-up'!$A:$A,MATCH($A18,'Smelter Look-up'!$E:$E,0)))</f>
        <v>Cobalt</v>
      </c>
      <c r="C18" s="197" t="str">
        <f ca="1">IF(LEN(A18)=0,"",INDEX('Smelter Look-up'!$C:$C,MATCH($A18,'Smelter Look-up'!$E:$E,0)))</f>
        <v>Jiangsu Xiongfeng Technology Co., Ltd.</v>
      </c>
      <c r="D18" s="191"/>
      <c r="E18" s="191" t="str">
        <f ca="1">IF(ISERROR($V18),"",OFFSET('Smelter Look-up'!$D$4,$V18-4,0)&amp;"")</f>
        <v>CHINA</v>
      </c>
      <c r="F18" s="191" t="str">
        <f ca="1">IF(ISERROR($V18),"",OFFSET('Smelter Look-up'!$E$4,$V18-4,0))</f>
        <v>CID003293</v>
      </c>
      <c r="G18" s="191" t="str">
        <f ca="1">IF(C18=$X$4,"Enter smelter details",IF(ISERROR($V18),"",OFFSET('Smelter Look-up'!$F$4,$V18-4,0)))</f>
        <v>RMI</v>
      </c>
      <c r="H18" s="192" t="s">
        <v>14070</v>
      </c>
      <c r="I18" s="193" t="str">
        <f ca="1">IF(ISERROR($V18),"",OFFSET('Smelter Look-up'!$H$4,$V18-4,0))</f>
        <v>Haimen</v>
      </c>
      <c r="J18" s="193" t="str">
        <f ca="1">IF(ISERROR($V18),"",OFFSET('Smelter Look-up'!$I$4,$V18-4,0))</f>
        <v>Jiangsu Sheng</v>
      </c>
      <c r="K18" s="195" t="s">
        <v>14070</v>
      </c>
      <c r="L18" s="195" t="s">
        <v>14070</v>
      </c>
      <c r="M18" s="195" t="s">
        <v>14070</v>
      </c>
      <c r="N18" s="195" t="s">
        <v>14070</v>
      </c>
      <c r="O18" s="195" t="s">
        <v>373</v>
      </c>
      <c r="P18" s="194" t="s">
        <v>14070</v>
      </c>
      <c r="Q18" s="196" t="s">
        <v>14070</v>
      </c>
      <c r="R18" s="191" t="str">
        <f ca="1">IF(ISERROR($V18),"",OFFSET('Smelter Look-up'!$C$4,$V18-4,0)&amp;"")</f>
        <v>Jiangsu Xiongfeng Technology Co., Ltd.</v>
      </c>
      <c r="S18" s="200" t="str">
        <f t="shared" ca="1" si="0"/>
        <v>CN</v>
      </c>
      <c r="T18" s="200" t="str">
        <f ca="1">IF(B18="","",IF(ISERROR(MATCH($J18,SorP!$B$1:$B$6230,0)),"",INDIRECT("'SorP'!$A$"&amp;MATCH($J18,SorP!$B$1:$B$6230,0))))</f>
        <v>CN-JS</v>
      </c>
      <c r="U18" s="217"/>
      <c r="V18" s="218">
        <f ca="1">IF(C18="",NA(),MATCH($B18&amp;$C18,'Smelter Look-up'!$J:$J,0))</f>
        <v>32</v>
      </c>
      <c r="W18" s="219"/>
      <c r="X18" s="219">
        <f t="shared" ca="1" si="1"/>
        <v>0</v>
      </c>
      <c r="Y18" s="219"/>
      <c r="Z18" s="219"/>
      <c r="AB18" s="220" t="str">
        <f t="shared" ca="1" si="2"/>
        <v>CobaltJiangsu Xiongfeng Technology Co., Ltd.</v>
      </c>
    </row>
    <row r="19" spans="1:28" s="220" customFormat="1" ht="20.25">
      <c r="A19" s="276" t="s">
        <v>12516</v>
      </c>
      <c r="B19" s="191" t="str">
        <f ca="1">IF(LEN(A19)=0,"",INDEX('Smelter Look-up'!$A:$A,MATCH($A19,'Smelter Look-up'!$E:$E,0)))</f>
        <v>Cobalt</v>
      </c>
      <c r="C19" s="197" t="str">
        <f ca="1">IF(LEN(A19)=0,"",INDEX('Smelter Look-up'!$C:$C,MATCH($A19,'Smelter Look-up'!$E:$E,0)))</f>
        <v>Jingmen GEM Co., Ltd.</v>
      </c>
      <c r="D19" s="191"/>
      <c r="E19" s="191" t="str">
        <f ca="1">IF(ISERROR($V19),"",OFFSET('Smelter Look-up'!$D$4,$V19-4,0)&amp;"")</f>
        <v>CHINA</v>
      </c>
      <c r="F19" s="191" t="str">
        <f ca="1">IF(ISERROR($V19),"",OFFSET('Smelter Look-up'!$E$4,$V19-4,0))</f>
        <v>CID003378</v>
      </c>
      <c r="G19" s="191" t="str">
        <f ca="1">IF(C19=$X$4,"Enter smelter details",IF(ISERROR($V19),"",OFFSET('Smelter Look-up'!$F$4,$V19-4,0)))</f>
        <v>RMI</v>
      </c>
      <c r="H19" s="192" t="s">
        <v>14070</v>
      </c>
      <c r="I19" s="193" t="str">
        <f ca="1">IF(ISERROR($V19),"",OFFSET('Smelter Look-up'!$H$4,$V19-4,0))</f>
        <v>Jingmen</v>
      </c>
      <c r="J19" s="193" t="str">
        <f ca="1">IF(ISERROR($V19),"",OFFSET('Smelter Look-up'!$I$4,$V19-4,0))</f>
        <v>Hubei Sheng</v>
      </c>
      <c r="K19" s="195" t="s">
        <v>14070</v>
      </c>
      <c r="L19" s="195" t="s">
        <v>14070</v>
      </c>
      <c r="M19" s="195" t="s">
        <v>14070</v>
      </c>
      <c r="N19" s="195" t="s">
        <v>14070</v>
      </c>
      <c r="O19" s="195" t="s">
        <v>373</v>
      </c>
      <c r="P19" s="194" t="s">
        <v>14070</v>
      </c>
      <c r="Q19" s="196" t="s">
        <v>14070</v>
      </c>
      <c r="R19" s="191" t="str">
        <f ca="1">IF(ISERROR($V19),"",OFFSET('Smelter Look-up'!$C$4,$V19-4,0)&amp;"")</f>
        <v>Jingmen GEM Co., Ltd.</v>
      </c>
      <c r="S19" s="200" t="str">
        <f t="shared" ca="1" si="0"/>
        <v>CN</v>
      </c>
      <c r="T19" s="200" t="str">
        <f ca="1">IF(B19="","",IF(ISERROR(MATCH($J19,SorP!$B$1:$B$6230,0)),"",INDIRECT("'SorP'!$A$"&amp;MATCH($J19,SorP!$B$1:$B$6230,0))))</f>
        <v>CN-HB</v>
      </c>
      <c r="U19" s="217"/>
      <c r="V19" s="218">
        <f ca="1">IF(C19="",NA(),MATCH($B19&amp;$C19,'Smelter Look-up'!$J:$J,0))</f>
        <v>35</v>
      </c>
      <c r="W19" s="219"/>
      <c r="X19" s="219">
        <f t="shared" ca="1" si="1"/>
        <v>0</v>
      </c>
      <c r="Y19" s="219"/>
      <c r="Z19" s="219"/>
      <c r="AB19" s="220" t="str">
        <f t="shared" ca="1" si="2"/>
        <v>CobaltJingmen GEM Co., Ltd.</v>
      </c>
    </row>
    <row r="20" spans="1:28" s="220" customFormat="1" ht="25.5">
      <c r="A20" s="276" t="s">
        <v>13817</v>
      </c>
      <c r="B20" s="191" t="str">
        <f ca="1">IF(LEN(A20)=0,"",INDEX('Smelter Look-up'!$A:$A,MATCH($A20,'Smelter Look-up'!$E:$E,0)))</f>
        <v>Cobalt</v>
      </c>
      <c r="C20" s="197" t="str">
        <f ca="1">IF(LEN(A20)=0,"",INDEX('Smelter Look-up'!$C:$C,MATCH($A20,'Smelter Look-up'!$E:$E,0)))</f>
        <v>JSC Kolskaya Mining and Metallurgical Company (Kola MMC)</v>
      </c>
      <c r="D20" s="191"/>
      <c r="E20" s="191" t="str">
        <f ca="1">IF(ISERROR($V20),"",OFFSET('Smelter Look-up'!$D$4,$V20-4,0)&amp;"")</f>
        <v>RUSSIAN FEDERATION</v>
      </c>
      <c r="F20" s="191" t="str">
        <f ca="1">IF(ISERROR($V20),"",OFFSET('Smelter Look-up'!$E$4,$V20-4,0))</f>
        <v>CID003233</v>
      </c>
      <c r="G20" s="191" t="str">
        <f ca="1">IF(C20=$X$4,"Enter smelter details",IF(ISERROR($V20),"",OFFSET('Smelter Look-up'!$F$4,$V20-4,0)))</f>
        <v>RMI</v>
      </c>
      <c r="H20" s="192" t="s">
        <v>14070</v>
      </c>
      <c r="I20" s="193" t="str">
        <f ca="1">IF(ISERROR($V20),"",OFFSET('Smelter Look-up'!$H$4,$V20-4,0))</f>
        <v>Monchegorsk</v>
      </c>
      <c r="J20" s="193" t="str">
        <f ca="1">IF(ISERROR($V20),"",OFFSET('Smelter Look-up'!$I$4,$V20-4,0))</f>
        <v>Murmanskaya oblast'</v>
      </c>
      <c r="K20" s="195" t="s">
        <v>14070</v>
      </c>
      <c r="L20" s="195" t="s">
        <v>14070</v>
      </c>
      <c r="M20" s="195" t="s">
        <v>14070</v>
      </c>
      <c r="N20" s="195" t="s">
        <v>14070</v>
      </c>
      <c r="O20" s="195" t="s">
        <v>373</v>
      </c>
      <c r="P20" s="194" t="s">
        <v>14070</v>
      </c>
      <c r="Q20" s="196" t="s">
        <v>14070</v>
      </c>
      <c r="R20" s="191" t="str">
        <f ca="1">IF(ISERROR($V20),"",OFFSET('Smelter Look-up'!$C$4,$V20-4,0)&amp;"")</f>
        <v>JSC Kolskaya Mining and Metallurgical Company (Kola MMC)</v>
      </c>
      <c r="S20" s="200" t="str">
        <f t="shared" ca="1" si="0"/>
        <v>RU</v>
      </c>
      <c r="T20" s="200" t="str">
        <f ca="1">IF(B20="","",IF(ISERROR(MATCH($J20,SorP!$B$1:$B$6230,0)),"",INDIRECT("'SorP'!$A$"&amp;MATCH($J20,SorP!$B$1:$B$6230,0))))</f>
        <v>RU-MUR</v>
      </c>
      <c r="U20" s="217"/>
      <c r="V20" s="218">
        <f ca="1">IF(C20="",NA(),MATCH($B20&amp;$C20,'Smelter Look-up'!$J:$J,0))</f>
        <v>36</v>
      </c>
      <c r="W20" s="219"/>
      <c r="X20" s="219">
        <f t="shared" ca="1" si="1"/>
        <v>0</v>
      </c>
      <c r="Y20" s="219"/>
      <c r="Z20" s="219"/>
      <c r="AB20" s="220" t="str">
        <f t="shared" ca="1" si="2"/>
        <v>CobaltJSC Kolskaya Mining and Metallurgical Company (Kola MMC)</v>
      </c>
    </row>
    <row r="21" spans="1:28" s="220" customFormat="1" ht="25.5">
      <c r="A21" s="277" t="s">
        <v>12518</v>
      </c>
      <c r="B21" s="191" t="str">
        <f ca="1">IF(LEN(A21)=0,"",INDEX('Smelter Look-up'!$A:$A,MATCH($A21,'Smelter Look-up'!$E:$E,0)))</f>
        <v>Cobalt</v>
      </c>
      <c r="C21" s="197" t="str">
        <f ca="1">IF(LEN(A21)=0,"",INDEX('Smelter Look-up'!$C:$C,MATCH($A21,'Smelter Look-up'!$E:$E,0)))</f>
        <v>Lanzhou Jinchuan Advanced Materials Technology Co., Ltd.</v>
      </c>
      <c r="D21" s="191"/>
      <c r="E21" s="191" t="str">
        <f ca="1">IF(ISERROR($V21),"",OFFSET('Smelter Look-up'!$D$4,$V21-4,0)&amp;"")</f>
        <v>CHINA</v>
      </c>
      <c r="F21" s="191" t="str">
        <f ca="1">IF(ISERROR($V21),"",OFFSET('Smelter Look-up'!$E$4,$V21-4,0))</f>
        <v>CID003210</v>
      </c>
      <c r="G21" s="191" t="str">
        <f ca="1">IF(C21=$X$4,"Enter smelter details",IF(ISERROR($V21),"",OFFSET('Smelter Look-up'!$F$4,$V21-4,0)))</f>
        <v>RMI</v>
      </c>
      <c r="H21" s="192" t="s">
        <v>14070</v>
      </c>
      <c r="I21" s="193" t="str">
        <f ca="1">IF(ISERROR($V21),"",OFFSET('Smelter Look-up'!$H$4,$V21-4,0))</f>
        <v>Lanzhou</v>
      </c>
      <c r="J21" s="193" t="str">
        <f ca="1">IF(ISERROR($V21),"",OFFSET('Smelter Look-up'!$I$4,$V21-4,0))</f>
        <v>Gansu Sheng</v>
      </c>
      <c r="K21" s="195" t="s">
        <v>14070</v>
      </c>
      <c r="L21" s="195" t="s">
        <v>14070</v>
      </c>
      <c r="M21" s="195" t="s">
        <v>14070</v>
      </c>
      <c r="N21" s="195" t="s">
        <v>14070</v>
      </c>
      <c r="O21" s="195" t="s">
        <v>373</v>
      </c>
      <c r="P21" s="194" t="s">
        <v>14070</v>
      </c>
      <c r="Q21" s="196" t="s">
        <v>14070</v>
      </c>
      <c r="R21" s="191" t="str">
        <f ca="1">IF(ISERROR($V21),"",OFFSET('Smelter Look-up'!$C$4,$V21-4,0)&amp;"")</f>
        <v>Lanzhou Jinchuan Advanced Materials Technology Co., Ltd.</v>
      </c>
      <c r="S21" s="200" t="str">
        <f t="shared" ca="1" si="0"/>
        <v>CN</v>
      </c>
      <c r="T21" s="200" t="str">
        <f ca="1">IF(B21="","",IF(ISERROR(MATCH($J21,SorP!$B$1:$B$6230,0)),"",INDIRECT("'SorP'!$A$"&amp;MATCH($J21,SorP!$B$1:$B$6230,0))))</f>
        <v>CN-GS</v>
      </c>
      <c r="U21" s="217"/>
      <c r="V21" s="218">
        <f ca="1">IF(C21="",NA(),MATCH($B21&amp;$C21,'Smelter Look-up'!$J:$J,0))</f>
        <v>41</v>
      </c>
      <c r="W21" s="219"/>
      <c r="X21" s="219">
        <f t="shared" ca="1" si="1"/>
        <v>0</v>
      </c>
      <c r="Y21" s="219"/>
      <c r="Z21" s="219"/>
      <c r="AB21" s="220" t="str">
        <f t="shared" ca="1" si="2"/>
        <v>CobaltLanzhou Jinchuan Advanced Materials Technology Co., Ltd.</v>
      </c>
    </row>
    <row r="22" spans="1:28" s="220" customFormat="1" ht="20.25">
      <c r="A22" s="276" t="s">
        <v>12793</v>
      </c>
      <c r="B22" s="191" t="str">
        <f ca="1">IF(LEN(A22)=0,"",INDEX('Smelter Look-up'!$A:$A,MATCH($A22,'Smelter Look-up'!$E:$E,0)))</f>
        <v>Cobalt</v>
      </c>
      <c r="C22" s="197" t="str">
        <f ca="1">IF(LEN(A22)=0,"",INDEX('Smelter Look-up'!$C:$C,MATCH($A22,'Smelter Look-up'!$E:$E,0)))</f>
        <v>Murrin Murrin Nickel Cobalt Plant</v>
      </c>
      <c r="D22" s="191"/>
      <c r="E22" s="191" t="str">
        <f ca="1">IF(ISERROR($V22),"",OFFSET('Smelter Look-up'!$D$4,$V22-4,0)&amp;"")</f>
        <v>AUSTRALIA</v>
      </c>
      <c r="F22" s="191" t="str">
        <f ca="1">IF(ISERROR($V22),"",OFFSET('Smelter Look-up'!$E$4,$V22-4,0))</f>
        <v>CID003406</v>
      </c>
      <c r="G22" s="191" t="str">
        <f ca="1">IF(C22=$X$4,"Enter smelter details",IF(ISERROR($V22),"",OFFSET('Smelter Look-up'!$F$4,$V22-4,0)))</f>
        <v>RMI</v>
      </c>
      <c r="H22" s="192" t="s">
        <v>14070</v>
      </c>
      <c r="I22" s="193" t="str">
        <f ca="1">IF(ISERROR($V22),"",OFFSET('Smelter Look-up'!$H$4,$V22-4,0))</f>
        <v>Laverton</v>
      </c>
      <c r="J22" s="193" t="str">
        <f ca="1">IF(ISERROR($V22),"",OFFSET('Smelter Look-up'!$I$4,$V22-4,0))</f>
        <v>Western Australia</v>
      </c>
      <c r="K22" s="195" t="s">
        <v>14070</v>
      </c>
      <c r="L22" s="195" t="s">
        <v>14070</v>
      </c>
      <c r="M22" s="195" t="s">
        <v>14070</v>
      </c>
      <c r="N22" s="195" t="s">
        <v>14070</v>
      </c>
      <c r="O22" s="195" t="s">
        <v>373</v>
      </c>
      <c r="P22" s="194" t="s">
        <v>14070</v>
      </c>
      <c r="Q22" s="196" t="s">
        <v>14070</v>
      </c>
      <c r="R22" s="191" t="str">
        <f ca="1">IF(ISERROR($V22),"",OFFSET('Smelter Look-up'!$C$4,$V22-4,0)&amp;"")</f>
        <v>Murrin Murrin Nickel Cobalt Plant</v>
      </c>
      <c r="S22" s="200" t="str">
        <f t="shared" ca="1" si="0"/>
        <v>AU</v>
      </c>
      <c r="T22" s="200" t="str">
        <f ca="1">IF(B22="","",IF(ISERROR(MATCH($J22,SorP!$B$1:$B$6230,0)),"",INDIRECT("'SorP'!$A$"&amp;MATCH($J22,SorP!$B$1:$B$6230,0))))</f>
        <v>AU-WA</v>
      </c>
      <c r="U22" s="217"/>
      <c r="V22" s="218">
        <f ca="1">IF(C22="",NA(),MATCH($B22&amp;$C22,'Smelter Look-up'!$J:$J,0))</f>
        <v>57</v>
      </c>
      <c r="W22" s="219"/>
      <c r="X22" s="219">
        <f t="shared" ca="1" si="1"/>
        <v>0</v>
      </c>
      <c r="Y22" s="219"/>
      <c r="Z22" s="219"/>
      <c r="AB22" s="220" t="str">
        <f t="shared" ca="1" si="2"/>
        <v>CobaltMurrin Murrin Nickel Cobalt Plant</v>
      </c>
    </row>
    <row r="23" spans="1:28" s="220" customFormat="1" ht="25.5">
      <c r="A23" s="276" t="s">
        <v>12536</v>
      </c>
      <c r="B23" s="191" t="str">
        <f ca="1">IF(LEN(A23)=0,"",INDEX('Smelter Look-up'!$A:$A,MATCH($A23,'Smelter Look-up'!$E:$E,0)))</f>
        <v>Cobalt</v>
      </c>
      <c r="C23" s="197" t="str">
        <f ca="1">IF(LEN(A23)=0,"",INDEX('Smelter Look-up'!$C:$C,MATCH($A23,'Smelter Look-up'!$E:$E,0)))</f>
        <v>Nantong Xinwei Nickel Cobalt Technology Development Co., Ltd.</v>
      </c>
      <c r="D23" s="191"/>
      <c r="E23" s="191" t="str">
        <f ca="1">IF(ISERROR($V23),"",OFFSET('Smelter Look-up'!$D$4,$V23-4,0)&amp;"")</f>
        <v>CHINA</v>
      </c>
      <c r="F23" s="191" t="str">
        <f ca="1">IF(ISERROR($V23),"",OFFSET('Smelter Look-up'!$E$4,$V23-4,0))</f>
        <v>CID003221</v>
      </c>
      <c r="G23" s="191" t="str">
        <f ca="1">IF(C23=$X$4,"Enter smelter details",IF(ISERROR($V23),"",OFFSET('Smelter Look-up'!$F$4,$V23-4,0)))</f>
        <v>RMI</v>
      </c>
      <c r="H23" s="192" t="s">
        <v>14070</v>
      </c>
      <c r="I23" s="193" t="str">
        <f ca="1">IF(ISERROR($V23),"",OFFSET('Smelter Look-up'!$H$4,$V23-4,0))</f>
        <v>Haimei</v>
      </c>
      <c r="J23" s="193" t="str">
        <f ca="1">IF(ISERROR($V23),"",OFFSET('Smelter Look-up'!$I$4,$V23-4,0))</f>
        <v>Jiangsu Sheng</v>
      </c>
      <c r="K23" s="195" t="s">
        <v>14070</v>
      </c>
      <c r="L23" s="195" t="s">
        <v>14070</v>
      </c>
      <c r="M23" s="195" t="s">
        <v>14070</v>
      </c>
      <c r="N23" s="195" t="s">
        <v>14070</v>
      </c>
      <c r="O23" s="195" t="s">
        <v>373</v>
      </c>
      <c r="P23" s="194" t="s">
        <v>14070</v>
      </c>
      <c r="Q23" s="196" t="s">
        <v>14070</v>
      </c>
      <c r="R23" s="191" t="str">
        <f ca="1">IF(ISERROR($V23),"",OFFSET('Smelter Look-up'!$C$4,$V23-4,0)&amp;"")</f>
        <v>Nantong Xinwei Nickel Cobalt Technology Development Co., Ltd.</v>
      </c>
      <c r="S23" s="200" t="str">
        <f t="shared" ca="1" si="0"/>
        <v>CN</v>
      </c>
      <c r="T23" s="200" t="str">
        <f ca="1">IF(B23="","",IF(ISERROR(MATCH($J23,SorP!$B$1:$B$6230,0)),"",INDIRECT("'SorP'!$A$"&amp;MATCH($J23,SorP!$B$1:$B$6230,0))))</f>
        <v>CN-JS</v>
      </c>
      <c r="U23" s="217"/>
      <c r="V23" s="218">
        <f ca="1">IF(C23="",NA(),MATCH($B23&amp;$C23,'Smelter Look-up'!$J:$J,0))</f>
        <v>61</v>
      </c>
      <c r="W23" s="219"/>
      <c r="X23" s="219">
        <f t="shared" ca="1" si="1"/>
        <v>0</v>
      </c>
      <c r="Y23" s="219"/>
      <c r="Z23" s="219"/>
      <c r="AB23" s="220" t="str">
        <f t="shared" ca="1" si="2"/>
        <v>CobaltNantong Xinwei Nickel Cobalt Technology Development Co., Ltd.</v>
      </c>
    </row>
    <row r="24" spans="1:28" s="220" customFormat="1" ht="20.25">
      <c r="A24" s="276" t="s">
        <v>12796</v>
      </c>
      <c r="B24" s="191" t="str">
        <f ca="1">IF(LEN(A24)=0,"",INDEX('Smelter Look-up'!$A:$A,MATCH($A24,'Smelter Look-up'!$E:$E,0)))</f>
        <v>Cobalt</v>
      </c>
      <c r="C24" s="197" t="str">
        <f ca="1">IF(LEN(A24)=0,"",INDEX('Smelter Look-up'!$C:$C,MATCH($A24,'Smelter Look-up'!$E:$E,0)))</f>
        <v>NORILSK NICKEL HARJAVALTA OY</v>
      </c>
      <c r="D24" s="191"/>
      <c r="E24" s="191" t="str">
        <f ca="1">IF(ISERROR($V24),"",OFFSET('Smelter Look-up'!$D$4,$V24-4,0)&amp;"")</f>
        <v>FINLAND</v>
      </c>
      <c r="F24" s="191" t="str">
        <f ca="1">IF(ISERROR($V24),"",OFFSET('Smelter Look-up'!$E$4,$V24-4,0))</f>
        <v>CID003390</v>
      </c>
      <c r="G24" s="191" t="str">
        <f ca="1">IF(C24=$X$4,"Enter smelter details",IF(ISERROR($V24),"",OFFSET('Smelter Look-up'!$F$4,$V24-4,0)))</f>
        <v>RMI</v>
      </c>
      <c r="H24" s="192" t="s">
        <v>14070</v>
      </c>
      <c r="I24" s="193" t="str">
        <f ca="1">IF(ISERROR($V24),"",OFFSET('Smelter Look-up'!$H$4,$V24-4,0))</f>
        <v>Harvjavalta</v>
      </c>
      <c r="J24" s="193" t="str">
        <f ca="1">IF(ISERROR($V24),"",OFFSET('Smelter Look-up'!$I$4,$V24-4,0))</f>
        <v>Satakunta</v>
      </c>
      <c r="K24" s="195" t="s">
        <v>14070</v>
      </c>
      <c r="L24" s="195" t="s">
        <v>14070</v>
      </c>
      <c r="M24" s="195" t="s">
        <v>14070</v>
      </c>
      <c r="N24" s="195" t="s">
        <v>14070</v>
      </c>
      <c r="O24" s="195" t="s">
        <v>373</v>
      </c>
      <c r="P24" s="194" t="s">
        <v>14070</v>
      </c>
      <c r="Q24" s="196" t="s">
        <v>14070</v>
      </c>
      <c r="R24" s="191" t="str">
        <f ca="1">IF(ISERROR($V24),"",OFFSET('Smelter Look-up'!$C$4,$V24-4,0)&amp;"")</f>
        <v>NORILSK NICKEL HARJAVALTA OY</v>
      </c>
      <c r="S24" s="200" t="str">
        <f t="shared" ca="1" si="0"/>
        <v>FI</v>
      </c>
      <c r="T24" s="200" t="str">
        <f ca="1">IF(B24="","",IF(ISERROR(MATCH($J24,SorP!$B$1:$B$6230,0)),"",INDIRECT("'SorP'!$A$"&amp;MATCH($J24,SorP!$B$1:$B$6230,0))))</f>
        <v>FI-17</v>
      </c>
      <c r="U24" s="217"/>
      <c r="V24" s="218">
        <f ca="1">IF(C24="",NA(),MATCH($B24&amp;$C24,'Smelter Look-up'!$J:$J,0))</f>
        <v>67</v>
      </c>
      <c r="W24" s="219"/>
      <c r="X24" s="219">
        <f t="shared" ca="1" si="1"/>
        <v>0</v>
      </c>
      <c r="Y24" s="219"/>
      <c r="Z24" s="219"/>
      <c r="AB24" s="220" t="str">
        <f t="shared" ca="1" si="2"/>
        <v>CobaltNORILSK NICKEL HARJAVALTA OY</v>
      </c>
    </row>
    <row r="25" spans="1:28" s="220" customFormat="1" ht="20.25">
      <c r="A25" s="272" t="s">
        <v>12520</v>
      </c>
      <c r="B25" s="191" t="str">
        <f ca="1">IF(LEN(A25)=0,"",INDEX('Smelter Look-up'!$A:$A,MATCH($A25,'Smelter Look-up'!$E:$E,0)))</f>
        <v>Cobalt</v>
      </c>
      <c r="C25" s="197" t="str">
        <f ca="1">IF(LEN(A25)=0,"",INDEX('Smelter Look-up'!$C:$C,MATCH($A25,'Smelter Look-up'!$E:$E,0)))</f>
        <v>Quzhou Huayou Cobalt New Material Co., Ltd.</v>
      </c>
      <c r="D25" s="191"/>
      <c r="E25" s="191" t="str">
        <f ca="1">IF(ISERROR($V25),"",OFFSET('Smelter Look-up'!$D$4,$V25-4,0)&amp;"")</f>
        <v>CHINA</v>
      </c>
      <c r="F25" s="191" t="str">
        <f ca="1">IF(ISERROR($V25),"",OFFSET('Smelter Look-up'!$E$4,$V25-4,0))</f>
        <v>CID003255</v>
      </c>
      <c r="G25" s="191" t="str">
        <f ca="1">IF(C25=$X$4,"Enter smelter details",IF(ISERROR($V25),"",OFFSET('Smelter Look-up'!$F$4,$V25-4,0)))</f>
        <v>RMI</v>
      </c>
      <c r="H25" s="192" t="s">
        <v>14070</v>
      </c>
      <c r="I25" s="193" t="str">
        <f ca="1">IF(ISERROR($V25),"",OFFSET('Smelter Look-up'!$H$4,$V25-4,0))</f>
        <v>Quzhou</v>
      </c>
      <c r="J25" s="193" t="str">
        <f ca="1">IF(ISERROR($V25),"",OFFSET('Smelter Look-up'!$I$4,$V25-4,0))</f>
        <v>Zhejiang Sheng</v>
      </c>
      <c r="K25" s="195" t="s">
        <v>14070</v>
      </c>
      <c r="L25" s="195" t="s">
        <v>14070</v>
      </c>
      <c r="M25" s="195" t="s">
        <v>14070</v>
      </c>
      <c r="N25" s="195" t="s">
        <v>14070</v>
      </c>
      <c r="O25" s="195" t="s">
        <v>373</v>
      </c>
      <c r="P25" s="194" t="s">
        <v>14070</v>
      </c>
      <c r="Q25" s="196" t="s">
        <v>14070</v>
      </c>
      <c r="R25" s="191" t="str">
        <f ca="1">IF(ISERROR($V25),"",OFFSET('Smelter Look-up'!$C$4,$V25-4,0)&amp;"")</f>
        <v>Quzhou Huayou Cobalt New Material Co., Ltd.</v>
      </c>
      <c r="S25" s="200" t="str">
        <f t="shared" ca="1" si="0"/>
        <v>CN</v>
      </c>
      <c r="T25" s="200" t="str">
        <f ca="1">IF(B25="","",IF(ISERROR(MATCH($J25,SorP!$B$1:$B$6230,0)),"",INDIRECT("'SorP'!$A$"&amp;MATCH($J25,SorP!$B$1:$B$6230,0))))</f>
        <v>CN-ZJ</v>
      </c>
      <c r="U25" s="217"/>
      <c r="V25" s="218">
        <f ca="1">IF(C25="",NA(),MATCH($B25&amp;$C25,'Smelter Look-up'!$J:$J,0))</f>
        <v>70</v>
      </c>
      <c r="W25" s="219"/>
      <c r="X25" s="219">
        <f t="shared" ca="1" si="1"/>
        <v>0</v>
      </c>
      <c r="Y25" s="219"/>
      <c r="Z25" s="219"/>
      <c r="AB25" s="220" t="str">
        <f t="shared" ca="1" si="2"/>
        <v>CobaltQuzhou Huayou Cobalt New Material Co., Ltd.</v>
      </c>
    </row>
    <row r="26" spans="1:28" s="220" customFormat="1" ht="20.25">
      <c r="A26" s="272" t="s">
        <v>13821</v>
      </c>
      <c r="B26" s="191" t="str">
        <f ca="1">IF(LEN(A26)=0,"",INDEX('Smelter Look-up'!$A:$A,MATCH($A26,'Smelter Look-up'!$E:$E,0)))</f>
        <v>Cobalt</v>
      </c>
      <c r="C26" s="197" t="str">
        <f ca="1">IF(LEN(A26)=0,"",INDEX('Smelter Look-up'!$C:$C,MATCH($A26,'Smelter Look-up'!$E:$E,0)))</f>
        <v>Sumitomo Metal Mining</v>
      </c>
      <c r="D26" s="191"/>
      <c r="E26" s="191" t="str">
        <f ca="1">IF(ISERROR($V26),"",OFFSET('Smelter Look-up'!$D$4,$V26-4,0)&amp;"")</f>
        <v>JAPAN</v>
      </c>
      <c r="F26" s="191" t="str">
        <f ca="1">IF(ISERROR($V26),"",OFFSET('Smelter Look-up'!$E$4,$V26-4,0))</f>
        <v>CID003278</v>
      </c>
      <c r="G26" s="191" t="str">
        <f ca="1">IF(C26=$X$4,"Enter smelter details",IF(ISERROR($V26),"",OFFSET('Smelter Look-up'!$F$4,$V26-4,0)))</f>
        <v>RMI</v>
      </c>
      <c r="H26" s="192" t="s">
        <v>14070</v>
      </c>
      <c r="I26" s="193" t="str">
        <f ca="1">IF(ISERROR($V26),"",OFFSET('Smelter Look-up'!$H$4,$V26-4,0))</f>
        <v>Tokyo</v>
      </c>
      <c r="J26" s="193" t="str">
        <f ca="1">IF(ISERROR($V26),"",OFFSET('Smelter Look-up'!$I$4,$V26-4,0))</f>
        <v>Tokyo</v>
      </c>
      <c r="K26" s="195" t="s">
        <v>14070</v>
      </c>
      <c r="L26" s="195" t="s">
        <v>14070</v>
      </c>
      <c r="M26" s="195" t="s">
        <v>14070</v>
      </c>
      <c r="N26" s="195" t="s">
        <v>14070</v>
      </c>
      <c r="O26" s="195" t="s">
        <v>373</v>
      </c>
      <c r="P26" s="194" t="s">
        <v>14070</v>
      </c>
      <c r="Q26" s="196" t="s">
        <v>14070</v>
      </c>
      <c r="R26" s="191" t="str">
        <f ca="1">IF(ISERROR($V26),"",OFFSET('Smelter Look-up'!$C$4,$V26-4,0)&amp;"")</f>
        <v>Sumitomo Metal Mining</v>
      </c>
      <c r="S26" s="200" t="str">
        <f t="shared" ca="1" si="0"/>
        <v>JP</v>
      </c>
      <c r="T26" s="200" t="str">
        <f ca="1">IF(B26="","",IF(ISERROR(MATCH($J26,SorP!$B$1:$B$6230,0)),"",INDIRECT("'SorP'!$A$"&amp;MATCH($J26,SorP!$B$1:$B$6230,0))))</f>
        <v>JP-13</v>
      </c>
      <c r="U26" s="217"/>
      <c r="V26" s="218">
        <f ca="1">IF(C26="",NA(),MATCH($B26&amp;$C26,'Smelter Look-up'!$J:$J,0))</f>
        <v>77</v>
      </c>
      <c r="W26" s="219"/>
      <c r="X26" s="219">
        <f t="shared" ca="1" si="1"/>
        <v>0</v>
      </c>
      <c r="Y26" s="219"/>
      <c r="Z26" s="219"/>
      <c r="AB26" s="220" t="str">
        <f t="shared" ca="1" si="2"/>
        <v>CobaltSumitomo Metal Mining</v>
      </c>
    </row>
    <row r="27" spans="1:28" s="220" customFormat="1" ht="20.25">
      <c r="A27" s="272" t="s">
        <v>12003</v>
      </c>
      <c r="B27" s="191" t="str">
        <f ca="1">IF(LEN(A27)=0,"",INDEX('Smelter Look-up'!$A:$A,MATCH($A27,'Smelter Look-up'!$E:$E,0)))</f>
        <v>Cobalt</v>
      </c>
      <c r="C27" s="197" t="str">
        <f ca="1">IF(LEN(A27)=0,"",INDEX('Smelter Look-up'!$C:$C,MATCH($A27,'Smelter Look-up'!$E:$E,0)))</f>
        <v>SungEel HiTech Co., Ltd.</v>
      </c>
      <c r="D27" s="191"/>
      <c r="E27" s="191" t="str">
        <f ca="1">IF(ISERROR($V27),"",OFFSET('Smelter Look-up'!$D$4,$V27-4,0)&amp;"")</f>
        <v>KOREA, REPUBLIC OF</v>
      </c>
      <c r="F27" s="191" t="str">
        <f ca="1">IF(ISERROR($V27),"",OFFSET('Smelter Look-up'!$E$4,$V27-4,0))</f>
        <v>CID003338</v>
      </c>
      <c r="G27" s="191" t="str">
        <f ca="1">IF(C27=$X$4,"Enter smelter details",IF(ISERROR($V27),"",OFFSET('Smelter Look-up'!$F$4,$V27-4,0)))</f>
        <v>RMI</v>
      </c>
      <c r="H27" s="192" t="s">
        <v>14070</v>
      </c>
      <c r="I27" s="193" t="str">
        <f ca="1">IF(ISERROR($V27),"",OFFSET('Smelter Look-up'!$H$4,$V27-4,0))</f>
        <v>Gunsan-si</v>
      </c>
      <c r="J27" s="193" t="str">
        <f ca="1">IF(ISERROR($V27),"",OFFSET('Smelter Look-up'!$I$4,$V27-4,0))</f>
        <v>Jeollabuk-do</v>
      </c>
      <c r="K27" s="195" t="s">
        <v>14070</v>
      </c>
      <c r="L27" s="195" t="s">
        <v>14070</v>
      </c>
      <c r="M27" s="195" t="s">
        <v>14070</v>
      </c>
      <c r="N27" s="195" t="s">
        <v>14070</v>
      </c>
      <c r="O27" s="195" t="s">
        <v>373</v>
      </c>
      <c r="P27" s="194" t="s">
        <v>14070</v>
      </c>
      <c r="Q27" s="196" t="s">
        <v>14070</v>
      </c>
      <c r="R27" s="191" t="str">
        <f ca="1">IF(ISERROR($V27),"",OFFSET('Smelter Look-up'!$C$4,$V27-4,0)&amp;"")</f>
        <v>SungEel HiTech Co., Ltd.</v>
      </c>
      <c r="S27" s="200" t="str">
        <f t="shared" ca="1" si="0"/>
        <v>KR</v>
      </c>
      <c r="T27" s="200" t="str">
        <f ca="1">IF(B27="","",IF(ISERROR(MATCH($J27,SorP!$B$1:$B$6230,0)),"",INDIRECT("'SorP'!$A$"&amp;MATCH($J27,SorP!$B$1:$B$6230,0))))</f>
        <v>KR-45</v>
      </c>
      <c r="U27" s="217"/>
      <c r="V27" s="218">
        <f ca="1">IF(C27="",NA(),MATCH($B27&amp;$C27,'Smelter Look-up'!$J:$J,0))</f>
        <v>79</v>
      </c>
      <c r="W27" s="219"/>
      <c r="X27" s="219">
        <f t="shared" ca="1" si="1"/>
        <v>0</v>
      </c>
      <c r="Y27" s="219"/>
      <c r="Z27" s="219"/>
      <c r="AB27" s="220" t="str">
        <f t="shared" ca="1" si="2"/>
        <v>CobaltSungEel HiTech Co., Ltd.</v>
      </c>
    </row>
    <row r="28" spans="1:28" s="220" customFormat="1" ht="25.5">
      <c r="A28" s="272" t="s">
        <v>12537</v>
      </c>
      <c r="B28" s="191" t="str">
        <f ca="1">IF(LEN(A28)=0,"",INDEX('Smelter Look-up'!$A:$A,MATCH($A28,'Smelter Look-up'!$E:$E,0)))</f>
        <v>Cobalt</v>
      </c>
      <c r="C28" s="197" t="str">
        <f ca="1">IF(LEN(A28)=0,"",INDEX('Smelter Look-up'!$C:$C,MATCH($A28,'Smelter Look-up'!$E:$E,0)))</f>
        <v>Tianjin Maolian Science &amp; Technology Co., Ltd.</v>
      </c>
      <c r="D28" s="191"/>
      <c r="E28" s="191" t="str">
        <f ca="1">IF(ISERROR($V28),"",OFFSET('Smelter Look-up'!$D$4,$V28-4,0)&amp;"")</f>
        <v>CHINA</v>
      </c>
      <c r="F28" s="191" t="str">
        <f ca="1">IF(ISERROR($V28),"",OFFSET('Smelter Look-up'!$E$4,$V28-4,0))</f>
        <v>CID003215</v>
      </c>
      <c r="G28" s="191" t="str">
        <f ca="1">IF(C28=$X$4,"Enter smelter details",IF(ISERROR($V28),"",OFFSET('Smelter Look-up'!$F$4,$V28-4,0)))</f>
        <v>RMI</v>
      </c>
      <c r="H28" s="192" t="s">
        <v>14070</v>
      </c>
      <c r="I28" s="193" t="str">
        <f ca="1">IF(ISERROR($V28),"",OFFSET('Smelter Look-up'!$H$4,$V28-4,0))</f>
        <v>Tianjin</v>
      </c>
      <c r="J28" s="193" t="str">
        <f ca="1">IF(ISERROR($V28),"",OFFSET('Smelter Look-up'!$I$4,$V28-4,0))</f>
        <v>Tianjin Shi</v>
      </c>
      <c r="K28" s="195" t="s">
        <v>14070</v>
      </c>
      <c r="L28" s="195" t="s">
        <v>14070</v>
      </c>
      <c r="M28" s="195" t="s">
        <v>14070</v>
      </c>
      <c r="N28" s="195" t="s">
        <v>14070</v>
      </c>
      <c r="O28" s="195" t="s">
        <v>373</v>
      </c>
      <c r="P28" s="194" t="s">
        <v>14070</v>
      </c>
      <c r="Q28" s="196" t="s">
        <v>14070</v>
      </c>
      <c r="R28" s="191" t="str">
        <f ca="1">IF(ISERROR($V28),"",OFFSET('Smelter Look-up'!$C$4,$V28-4,0)&amp;"")</f>
        <v>Tianjin Maolian Science &amp; Technology Co., Ltd.</v>
      </c>
      <c r="S28" s="200" t="str">
        <f t="shared" ca="1" si="0"/>
        <v>CN</v>
      </c>
      <c r="T28" s="200" t="str">
        <f ca="1">IF(B28="","",IF(ISERROR(MATCH($J28,SorP!$B$1:$B$6230,0)),"",INDIRECT("'SorP'!$A$"&amp;MATCH($J28,SorP!$B$1:$B$6230,0))))</f>
        <v>CN-TJ</v>
      </c>
      <c r="U28" s="217"/>
      <c r="V28" s="218">
        <f ca="1">IF(C28="",NA(),MATCH($B28&amp;$C28,'Smelter Look-up'!$J:$J,0))</f>
        <v>83</v>
      </c>
      <c r="W28" s="219"/>
      <c r="X28" s="219">
        <f t="shared" ca="1" si="1"/>
        <v>0</v>
      </c>
      <c r="Y28" s="219"/>
      <c r="Z28" s="219"/>
      <c r="AB28" s="220" t="str">
        <f t="shared" ca="1" si="2"/>
        <v>CobaltTianjin Maolian Science &amp; Technology Co., Ltd.</v>
      </c>
    </row>
    <row r="29" spans="1:28" s="220" customFormat="1" ht="25.5">
      <c r="A29" s="272" t="s">
        <v>12253</v>
      </c>
      <c r="B29" s="191" t="str">
        <f ca="1">IF(LEN(A29)=0,"",INDEX('Smelter Look-up'!$A:$A,MATCH($A29,'Smelter Look-up'!$E:$E,0)))</f>
        <v>Cobalt</v>
      </c>
      <c r="C29" s="197" t="str">
        <f ca="1">IF(LEN(A29)=0,"",INDEX('Smelter Look-up'!$C:$C,MATCH($A29,'Smelter Look-up'!$E:$E,0)))</f>
        <v>Umicore Finland Oy</v>
      </c>
      <c r="D29" s="191"/>
      <c r="E29" s="191" t="str">
        <f ca="1">IF(ISERROR($V29),"",OFFSET('Smelter Look-up'!$D$4,$V29-4,0)&amp;"")</f>
        <v>FINLAND</v>
      </c>
      <c r="F29" s="191" t="str">
        <f ca="1">IF(ISERROR($V29),"",OFFSET('Smelter Look-up'!$E$4,$V29-4,0))</f>
        <v>CID003226</v>
      </c>
      <c r="G29" s="191" t="str">
        <f ca="1">IF(C29=$X$4,"Enter smelter details",IF(ISERROR($V29),"",OFFSET('Smelter Look-up'!$F$4,$V29-4,0)))</f>
        <v>RMI</v>
      </c>
      <c r="H29" s="192" t="s">
        <v>14070</v>
      </c>
      <c r="I29" s="193" t="str">
        <f ca="1">IF(ISERROR($V29),"",OFFSET('Smelter Look-up'!$H$4,$V29-4,0))</f>
        <v>Kokkola</v>
      </c>
      <c r="J29" s="193" t="str">
        <f ca="1">IF(ISERROR($V29),"",OFFSET('Smelter Look-up'!$I$4,$V29-4,0))</f>
        <v>Mellersta Österbotten</v>
      </c>
      <c r="K29" s="195" t="s">
        <v>14070</v>
      </c>
      <c r="L29" s="195" t="s">
        <v>14070</v>
      </c>
      <c r="M29" s="195" t="s">
        <v>14070</v>
      </c>
      <c r="N29" s="195" t="s">
        <v>14070</v>
      </c>
      <c r="O29" s="195" t="s">
        <v>373</v>
      </c>
      <c r="P29" s="194" t="s">
        <v>14070</v>
      </c>
      <c r="Q29" s="196" t="s">
        <v>14070</v>
      </c>
      <c r="R29" s="191" t="str">
        <f ca="1">IF(ISERROR($V29),"",OFFSET('Smelter Look-up'!$C$4,$V29-4,0)&amp;"")</f>
        <v>Umicore Finland Oy</v>
      </c>
      <c r="S29" s="200" t="str">
        <f t="shared" ca="1" si="0"/>
        <v>FI</v>
      </c>
      <c r="T29" s="200" t="str">
        <f ca="1">IF(B29="","",IF(ISERROR(MATCH($J29,SorP!$B$1:$B$6230,0)),"",INDIRECT("'SorP'!$A$"&amp;MATCH($J29,SorP!$B$1:$B$6230,0))))</f>
        <v>FI-07</v>
      </c>
      <c r="U29" s="217"/>
      <c r="V29" s="218">
        <f ca="1">IF(C29="",NA(),MATCH($B29&amp;$C29,'Smelter Look-up'!$J:$J,0))</f>
        <v>84</v>
      </c>
      <c r="W29" s="219"/>
      <c r="X29" s="219">
        <f t="shared" ca="1" si="1"/>
        <v>0</v>
      </c>
      <c r="Y29" s="219"/>
      <c r="Z29" s="219"/>
      <c r="AB29" s="220" t="str">
        <f t="shared" ca="1" si="2"/>
        <v>CobaltUmicore Finland Oy</v>
      </c>
    </row>
    <row r="30" spans="1:28" s="220" customFormat="1" ht="20.25">
      <c r="A30" s="272" t="s">
        <v>12002</v>
      </c>
      <c r="B30" s="191" t="str">
        <f ca="1">IF(LEN(A30)=0,"",INDEX('Smelter Look-up'!$A:$A,MATCH($A30,'Smelter Look-up'!$E:$E,0)))</f>
        <v>Cobalt</v>
      </c>
      <c r="C30" s="197" t="str">
        <f ca="1">IF(LEN(A30)=0,"",INDEX('Smelter Look-up'!$C:$C,MATCH($A30,'Smelter Look-up'!$E:$E,0)))</f>
        <v>Umicore Olen</v>
      </c>
      <c r="D30" s="191"/>
      <c r="E30" s="191" t="str">
        <f ca="1">IF(ISERROR($V30),"",OFFSET('Smelter Look-up'!$D$4,$V30-4,0)&amp;"")</f>
        <v>BELGIUM</v>
      </c>
      <c r="F30" s="191" t="str">
        <f ca="1">IF(ISERROR($V30),"",OFFSET('Smelter Look-up'!$E$4,$V30-4,0))</f>
        <v>CID003228</v>
      </c>
      <c r="G30" s="191" t="str">
        <f ca="1">IF(C30=$X$4,"Enter smelter details",IF(ISERROR($V30),"",OFFSET('Smelter Look-up'!$F$4,$V30-4,0)))</f>
        <v>RMI</v>
      </c>
      <c r="H30" s="192" t="s">
        <v>14070</v>
      </c>
      <c r="I30" s="193" t="str">
        <f ca="1">IF(ISERROR($V30),"",OFFSET('Smelter Look-up'!$H$4,$V30-4,0))</f>
        <v>Olen</v>
      </c>
      <c r="J30" s="193" t="str">
        <f ca="1">IF(ISERROR($V30),"",OFFSET('Smelter Look-up'!$I$4,$V30-4,0))</f>
        <v>Antwerpen</v>
      </c>
      <c r="K30" s="195" t="s">
        <v>14070</v>
      </c>
      <c r="L30" s="195" t="s">
        <v>14070</v>
      </c>
      <c r="M30" s="195" t="s">
        <v>14070</v>
      </c>
      <c r="N30" s="195" t="s">
        <v>14070</v>
      </c>
      <c r="O30" s="195" t="s">
        <v>373</v>
      </c>
      <c r="P30" s="194" t="s">
        <v>14070</v>
      </c>
      <c r="Q30" s="196" t="s">
        <v>14070</v>
      </c>
      <c r="R30" s="191" t="str">
        <f ca="1">IF(ISERROR($V30),"",OFFSET('Smelter Look-up'!$C$4,$V30-4,0)&amp;"")</f>
        <v>Umicore Olen</v>
      </c>
      <c r="S30" s="200" t="str">
        <f t="shared" ca="1" si="0"/>
        <v>BE</v>
      </c>
      <c r="T30" s="200" t="str">
        <f ca="1">IF(B30="","",IF(ISERROR(MATCH($J30,SorP!$B$1:$B$6230,0)),"",INDIRECT("'SorP'!$A$"&amp;MATCH($J30,SorP!$B$1:$B$6230,0))))</f>
        <v>BE-VAN</v>
      </c>
      <c r="U30" s="217"/>
      <c r="V30" s="218">
        <f ca="1">IF(C30="",NA(),MATCH($B30&amp;$C30,'Smelter Look-up'!$J:$J,0))</f>
        <v>85</v>
      </c>
      <c r="W30" s="219"/>
      <c r="X30" s="219">
        <f t="shared" ca="1" si="1"/>
        <v>0</v>
      </c>
      <c r="Y30" s="219"/>
      <c r="Z30" s="219"/>
      <c r="AB30" s="220" t="str">
        <f t="shared" ca="1" si="2"/>
        <v>CobaltUmicore Olen</v>
      </c>
    </row>
    <row r="31" spans="1:28" s="220" customFormat="1" ht="20.25">
      <c r="A31" s="272" t="s">
        <v>12522</v>
      </c>
      <c r="B31" s="191" t="str">
        <f ca="1">IF(LEN(A31)=0,"",INDEX('Smelter Look-up'!$A:$A,MATCH($A31,'Smelter Look-up'!$E:$E,0)))</f>
        <v>Cobalt</v>
      </c>
      <c r="C31" s="197" t="str">
        <f ca="1">IF(LEN(A31)=0,"",INDEX('Smelter Look-up'!$C:$C,MATCH($A31,'Smelter Look-up'!$E:$E,0)))</f>
        <v>Zhejiang Huayou Cobalt Company Limited</v>
      </c>
      <c r="D31" s="191"/>
      <c r="E31" s="191" t="str">
        <f ca="1">IF(ISERROR($V31),"",OFFSET('Smelter Look-up'!$D$4,$V31-4,0)&amp;"")</f>
        <v>CHINA</v>
      </c>
      <c r="F31" s="191" t="str">
        <f ca="1">IF(ISERROR($V31),"",OFFSET('Smelter Look-up'!$E$4,$V31-4,0))</f>
        <v>CID003225</v>
      </c>
      <c r="G31" s="191" t="str">
        <f ca="1">IF(C31=$X$4,"Enter smelter details",IF(ISERROR($V31),"",OFFSET('Smelter Look-up'!$F$4,$V31-4,0)))</f>
        <v>RMI</v>
      </c>
      <c r="H31" s="192" t="s">
        <v>14070</v>
      </c>
      <c r="I31" s="193" t="str">
        <f ca="1">IF(ISERROR($V31),"",OFFSET('Smelter Look-up'!$H$4,$V31-4,0))</f>
        <v>Tongxiang</v>
      </c>
      <c r="J31" s="193" t="str">
        <f ca="1">IF(ISERROR($V31),"",OFFSET('Smelter Look-up'!$I$4,$V31-4,0))</f>
        <v>Zhejiang Sheng</v>
      </c>
      <c r="K31" s="195" t="s">
        <v>14070</v>
      </c>
      <c r="L31" s="195" t="s">
        <v>14070</v>
      </c>
      <c r="M31" s="195" t="s">
        <v>14070</v>
      </c>
      <c r="N31" s="195" t="s">
        <v>14070</v>
      </c>
      <c r="O31" s="195" t="s">
        <v>373</v>
      </c>
      <c r="P31" s="194" t="s">
        <v>14070</v>
      </c>
      <c r="Q31" s="196" t="s">
        <v>14070</v>
      </c>
      <c r="R31" s="191" t="str">
        <f ca="1">IF(ISERROR($V31),"",OFFSET('Smelter Look-up'!$C$4,$V31-4,0)&amp;"")</f>
        <v>Zhejiang Huayou Cobalt Company Limited</v>
      </c>
      <c r="S31" s="200" t="str">
        <f t="shared" ca="1" si="0"/>
        <v>CN</v>
      </c>
      <c r="T31" s="200" t="str">
        <f ca="1">IF(B31="","",IF(ISERROR(MATCH($J31,SorP!$B$1:$B$6230,0)),"",INDIRECT("'SorP'!$A$"&amp;MATCH($J31,SorP!$B$1:$B$6230,0))))</f>
        <v>CN-ZJ</v>
      </c>
      <c r="U31" s="217"/>
      <c r="V31" s="218">
        <f ca="1">IF(C31="",NA(),MATCH($B31&amp;$C31,'Smelter Look-up'!$J:$J,0))</f>
        <v>90</v>
      </c>
      <c r="W31" s="219"/>
      <c r="X31" s="219">
        <f t="shared" ca="1" si="1"/>
        <v>0</v>
      </c>
      <c r="Y31" s="219"/>
      <c r="Z31" s="219"/>
      <c r="AB31" s="220" t="str">
        <f t="shared" ca="1" si="2"/>
        <v>CobaltZhejiang Huayou Cobalt Company Limited</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password="C246" sheet="1" objects="1" scenarios="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5" priority="20" stopIfTrue="1">
      <formula>IF(B5="",TRUE)</formula>
    </cfRule>
  </conditionalFormatting>
  <conditionalFormatting sqref="D5:D2498">
    <cfRule type="expression" dxfId="64" priority="14" stopIfTrue="1">
      <formula>IF(AND(LEN($C5) &gt;0, ($C5 &lt;&gt; "Smelter Not Listed")),1,0)</formula>
    </cfRule>
    <cfRule type="expression" dxfId="63" priority="39" stopIfTrue="1">
      <formula>IF(AND(D5="",$C5=$X$4),TRUE)</formula>
    </cfRule>
    <cfRule type="expression" dxfId="62" priority="40" stopIfTrue="1">
      <formula>IF(FIND("!",D5),TRUE)</formula>
    </cfRule>
  </conditionalFormatting>
  <conditionalFormatting sqref="G5:G2498">
    <cfRule type="expression" dxfId="61" priority="41" stopIfTrue="1">
      <formula>IF(FIND("Enter smelter details",G5),TRUE)</formula>
    </cfRule>
  </conditionalFormatting>
  <conditionalFormatting sqref="R5:R2498 E5:E2498">
    <cfRule type="expression" dxfId="60" priority="27" stopIfTrue="1">
      <formula>IF(AND(E5="",$C5=$X$4),TRUE)</formula>
    </cfRule>
    <cfRule type="expression" dxfId="59" priority="28" stopIfTrue="1">
      <formula>IF(FIND("!",E5),TRUE)</formula>
    </cfRule>
  </conditionalFormatting>
  <conditionalFormatting sqref="F5:F2498">
    <cfRule type="expression" dxfId="58" priority="18" stopIfTrue="1">
      <formula>IF(AND(LEN($A5)&gt;0,$A5&lt;&gt;$F5),TRUE,FALSE)</formula>
    </cfRule>
  </conditionalFormatting>
  <conditionalFormatting sqref="C5:C2500">
    <cfRule type="expression" dxfId="57" priority="17" stopIfTrue="1">
      <formula>IF(AND(#REF!&lt;&gt;"",C5=""),TRUE)</formula>
    </cfRule>
  </conditionalFormatting>
  <conditionalFormatting sqref="A53">
    <cfRule type="expression" priority="10">
      <formula>$A$5:$Q1996&lt;&gt;""</formula>
    </cfRule>
  </conditionalFormatting>
  <conditionalFormatting sqref="B2499:B2500">
    <cfRule type="expression" dxfId="56" priority="4" stopIfTrue="1">
      <formula>IF(B2499="",TRUE)</formula>
    </cfRule>
  </conditionalFormatting>
  <conditionalFormatting sqref="D2499:D2500">
    <cfRule type="expression" dxfId="55" priority="1" stopIfTrue="1">
      <formula>IF(AND(LEN($C2499) &gt;0, ($C2499 &lt;&gt; "Smelter Not Listed")),1,0)</formula>
    </cfRule>
    <cfRule type="expression" dxfId="54" priority="7" stopIfTrue="1">
      <formula>IF(AND(D2499="",$C2499=$X$4),TRUE)</formula>
    </cfRule>
    <cfRule type="expression" dxfId="53" priority="8" stopIfTrue="1">
      <formula>IF(FIND("!",D2499),TRUE)</formula>
    </cfRule>
  </conditionalFormatting>
  <conditionalFormatting sqref="G2499:G2500">
    <cfRule type="expression" dxfId="52" priority="9" stopIfTrue="1">
      <formula>IF(FIND("Enter smelter details",G2499),TRUE)</formula>
    </cfRule>
  </conditionalFormatting>
  <conditionalFormatting sqref="R2499:R2500 E2499:E2500">
    <cfRule type="expression" dxfId="51" priority="5" stopIfTrue="1">
      <formula>IF(AND(E2499="",$C2499=$X$4),TRUE)</formula>
    </cfRule>
    <cfRule type="expression" dxfId="50" priority="6" stopIfTrue="1">
      <formula>IF(FIND("!",E2499),TRUE)</formula>
    </cfRule>
  </conditionalFormatting>
  <conditionalFormatting sqref="F2499:F2500">
    <cfRule type="expression" dxfId="49"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5" t="str">
        <f ca="1">OFFSET(L!$C$1,MATCH("Checker"&amp;ADDRESS(ROW(),COLUMN(),4),L!$A:$A,0)-1,SL,,)</f>
        <v>To ensure all required fields have been populated before submitting to your customers review form for any line items highlighted in red</v>
      </c>
      <c r="B1" s="425"/>
      <c r="C1" s="425"/>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 ca="1">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Qorvo US, Inc.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Ashlee Raulston</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ashlee.raulston@qorvo.com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(336) 678-7357</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Angie Hitchings</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angie.hitchings@qorvo.com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(336) 678-5920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t="str">
        <f>Declaration!D22</f>
        <v>16-Mar-2021</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Unknown</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t="str">
        <f>Declaration!D44</f>
        <v>100%</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No</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25.5">
      <c r="A46" s="90" t="s">
        <v>0</v>
      </c>
      <c r="B46" s="90" t="str">
        <f>Declaration!G63</f>
        <v>https://www.qorvo.com/about-us/corporate-social-responsibility/our-program</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List'!AB$5:AB$2500,"Cobalt?*")&gt;0),0,1)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Complete</v>
      </c>
      <c r="D61" s="96"/>
      <c r="E61" s="74"/>
      <c r="F61" s="95">
        <f ca="1">IF(COUNTIF('Smelter List'!$C:$C,"Smelter Not Listed")&gt;0,1,0)</f>
        <v>1</v>
      </c>
      <c r="G61" s="71">
        <f ca="1">SUM('Smelter List'!X5:X2498)</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3.5" thickBot="1">
      <c r="A65" s="19"/>
    </row>
  </sheetData>
  <sheetProtection password="C246" sheet="1" objects="1" scenarios="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8" priority="386" stopIfTrue="1">
      <formula>IF(F57=0,TRUE)</formula>
    </cfRule>
  </conditionalFormatting>
  <conditionalFormatting sqref="A5:A13">
    <cfRule type="expression" dxfId="47" priority="94" stopIfTrue="1">
      <formula>$F5=0</formula>
    </cfRule>
    <cfRule type="expression" dxfId="46" priority="95" stopIfTrue="1">
      <formula>AND($F5=1,$G5=0)</formula>
    </cfRule>
    <cfRule type="expression" dxfId="45" priority="96" stopIfTrue="1">
      <formula>AND($F5&lt;&gt;0,$G5&lt;&gt;0)</formula>
    </cfRule>
  </conditionalFormatting>
  <conditionalFormatting sqref="B56">
    <cfRule type="expression" dxfId="44" priority="92" stopIfTrue="1">
      <formula>$F56=0</formula>
    </cfRule>
  </conditionalFormatting>
  <conditionalFormatting sqref="D46">
    <cfRule type="expression" dxfId="43" priority="403" stopIfTrue="1">
      <formula>$H$46=0</formula>
    </cfRule>
  </conditionalFormatting>
  <conditionalFormatting sqref="B58">
    <cfRule type="expression" dxfId="42" priority="84" stopIfTrue="1">
      <formula>IF(F58=0,TRUE)</formula>
    </cfRule>
  </conditionalFormatting>
  <conditionalFormatting sqref="B59">
    <cfRule type="expression" dxfId="41" priority="80" stopIfTrue="1">
      <formula>IF(F59=0,TRUE)</formula>
    </cfRule>
  </conditionalFormatting>
  <conditionalFormatting sqref="B60:B61">
    <cfRule type="expression" dxfId="40" priority="76" stopIfTrue="1">
      <formula>IF(F60=0,TRUE)</formula>
    </cfRule>
  </conditionalFormatting>
  <conditionalFormatting sqref="A57:A61">
    <cfRule type="expression" dxfId="39" priority="59" stopIfTrue="1">
      <formula>C57="Not Required"</formula>
    </cfRule>
    <cfRule type="expression" dxfId="38"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7" priority="392" stopIfTrue="1">
      <formula>$F4=0</formula>
    </cfRule>
    <cfRule type="expression" dxfId="36" priority="393" stopIfTrue="1">
      <formula>$H4=0</formula>
    </cfRule>
    <cfRule type="expression" dxfId="35" priority="394" stopIfTrue="1">
      <formula>$H4=1</formula>
    </cfRule>
  </conditionalFormatting>
  <conditionalFormatting sqref="C61 A61">
    <cfRule type="expression" dxfId="34" priority="56" stopIfTrue="1">
      <formula>IF(AND($F$61=1,$G$61=1),TRUE,FALSE)</formula>
    </cfRule>
  </conditionalFormatting>
  <conditionalFormatting sqref="C20:C23">
    <cfRule type="expression" dxfId="33" priority="40" stopIfTrue="1">
      <formula>B15="No"</formula>
    </cfRule>
    <cfRule type="expression" dxfId="32" priority="41" stopIfTrue="1">
      <formula>OR(C20="Complete",C20="填写", C20="記入済",C20="완료",C20="Complétez",C20="Concluído",C20="Vollständig",C20="Completare",C20="Doldurun")</formula>
    </cfRule>
  </conditionalFormatting>
  <conditionalFormatting sqref="C40:C43">
    <cfRule type="expression" dxfId="31" priority="48" stopIfTrue="1">
      <formula>B15="No"</formula>
    </cfRule>
    <cfRule type="expression" dxfId="30" priority="49" stopIfTrue="1">
      <formula>OR(C40="Complete",C40="填写", C40="記入済",C40="완료",C40="Complétez",C40="Concluído",C40="Vollständig",C40="Completare",C40="Doldurun")</formula>
    </cfRule>
  </conditionalFormatting>
  <conditionalFormatting sqref="C35:C38">
    <cfRule type="expression" dxfId="29" priority="46" stopIfTrue="1">
      <formula>B15="No"</formula>
    </cfRule>
    <cfRule type="expression" dxfId="28" priority="47" stopIfTrue="1">
      <formula>OR(C35="Complete",C35="填写", C35="記入済",C35="완료",C35="Complétez",C35="Concluído",C35="Vollständig",C35="Completare",C35="Doldurun")</formula>
    </cfRule>
  </conditionalFormatting>
  <conditionalFormatting sqref="C30:C33">
    <cfRule type="expression" dxfId="27" priority="44" stopIfTrue="1">
      <formula>B15="No"</formula>
    </cfRule>
    <cfRule type="expression" dxfId="26" priority="45" stopIfTrue="1">
      <formula>OR(C30="Complete",C30="填写", C30="記入済",C30="완료",C30="Complétez",C30="Concluído",C30="Vollständig",C30="Completare",C30="Doldurun")</formula>
    </cfRule>
  </conditionalFormatting>
  <conditionalFormatting sqref="C25:C28">
    <cfRule type="expression" dxfId="25" priority="42" stopIfTrue="1">
      <formula>B15="No"</formula>
    </cfRule>
    <cfRule type="expression" dxfId="24" priority="43" stopIfTrue="1">
      <formula>OR(C25="Complete",C25="填写", C25="記入済",C25="완료",C25="Complétez",C25="Concluído",C25="Vollständig",C25="Completare",C25="Doldurun")</formula>
    </cfRule>
  </conditionalFormatting>
  <conditionalFormatting sqref="A58">
    <cfRule type="expression" dxfId="23" priority="38">
      <formula>IF(A58,"")=TRUE</formula>
    </cfRule>
  </conditionalFormatting>
  <conditionalFormatting sqref="C57">
    <cfRule type="expression" dxfId="22" priority="31" stopIfTrue="1">
      <formula>C57="Not Required"</formula>
    </cfRule>
    <cfRule type="expression" dxfId="21" priority="32" stopIfTrue="1">
      <formula>OR(C57="Complete",C57="填写", C57="記入済",C57="완료",C57="Complétez",C57="Concluído",C57="Vollständig",C57="Completare",C57="Doldurun")</formula>
    </cfRule>
  </conditionalFormatting>
  <conditionalFormatting sqref="C49">
    <cfRule type="expression" dxfId="20" priority="21" stopIfTrue="1">
      <formula>B15="No"</formula>
    </cfRule>
    <cfRule type="expression" dxfId="19" priority="22" stopIfTrue="1">
      <formula>OR(C49="Complete",C49="填写", C49="記入済",C49="완료",C49="Complétez",C49="Concluído",C49="Vollständig",C49="Completare",C49="Doldurun")</formula>
    </cfRule>
  </conditionalFormatting>
  <conditionalFormatting sqref="C51">
    <cfRule type="expression" dxfId="18" priority="19" stopIfTrue="1">
      <formula>B15="No"</formula>
    </cfRule>
    <cfRule type="expression" dxfId="17" priority="20" stopIfTrue="1">
      <formula>OR(C51="Complete",C51="填写", C51="記入済",C51="완료",C51="Complétez",C51="Concluído",C51="Vollständig",C51="Completare",C51="Doldurun")</formula>
    </cfRule>
  </conditionalFormatting>
  <conditionalFormatting sqref="C53">
    <cfRule type="expression" dxfId="16"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5" priority="52" stopIfTrue="1">
      <formula>OR(C48="Complete",C48="填写", C48="記入済",C48="완료",C48="Complétez",C48="Concluído",C48="Vollständig",C48="Completare",C48="Doldurun")</formula>
    </cfRule>
    <cfRule type="expression" dxfId="14" priority="16" stopIfTrue="1">
      <formula>B15="No"</formula>
    </cfRule>
  </conditionalFormatting>
  <conditionalFormatting sqref="C45">
    <cfRule type="expression" dxfId="13" priority="2" stopIfTrue="1">
      <formula>B15="No"</formula>
    </cfRule>
    <cfRule type="expression" dxfId="12" priority="15" stopIfTrue="1">
      <formula>OR(C45="Complete",C45="填写", C45="記入済",C45="완료",C45="Complétez",C45="Concluído",C45="Vollständig",C45="Completare",C45="Doldurun")</formula>
    </cfRule>
  </conditionalFormatting>
  <conditionalFormatting sqref="C47">
    <cfRule type="expression" dxfId="11" priority="13" stopIfTrue="1">
      <formula>B15="No"</formula>
    </cfRule>
    <cfRule type="expression" dxfId="10" priority="66" stopIfTrue="1">
      <formula>OR(C47="Complete",C47="填写", C47="記入済",C47="완료",C47="Complétez",C47="Concluído",C47="Vollständig",C47="Completare",C47="Doldurun")</formula>
    </cfRule>
  </conditionalFormatting>
  <conditionalFormatting sqref="C50">
    <cfRule type="expression" dxfId="9" priority="10" stopIfTrue="1">
      <formula>B15="No"</formula>
    </cfRule>
    <cfRule type="expression" dxfId="8" priority="11" stopIfTrue="1">
      <formula>OR(C50="Complete",C50="填写", C50="記入済",C50="완료",C50="Complétez",C50="Concluído",C50="Vollständig",C50="Completare",C50="Doldurun")</formula>
    </cfRule>
  </conditionalFormatting>
  <conditionalFormatting sqref="C54">
    <cfRule type="expression" dxfId="7" priority="7" stopIfTrue="1">
      <formula>B15="No"</formula>
    </cfRule>
    <cfRule type="expression" dxfId="6" priority="8" stopIfTrue="1">
      <formula>OR(C54="Complete",C54="填写", C54="記入済",C54="완료",C54="Complétez",C54="Concluído",C54="Vollständig",C54="Completare",C54="Doldurun")</formula>
    </cfRule>
  </conditionalFormatting>
  <conditionalFormatting sqref="C55">
    <cfRule type="expression" dxfId="5" priority="5" stopIfTrue="1">
      <formula>B15="No"</formula>
    </cfRule>
    <cfRule type="expression" dxfId="4"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7" t="str">
        <f ca="1">OFFSET(L!$C$1,MATCH("Product List"&amp;ADDRESS(ROW(),COLUMN(),4),L!$A:$A,0)-1,SL,,)</f>
        <v>Completion required only if reporting level "Product (or List of Products)" selected on the 'Declaration' worksheet.</v>
      </c>
      <c r="B1" s="428"/>
      <c r="C1" s="428"/>
      <c r="D1" s="428"/>
      <c r="E1" s="126"/>
    </row>
    <row r="2" spans="1:35">
      <c r="A2" s="23"/>
      <c r="B2" s="128"/>
      <c r="C2" s="128"/>
      <c r="D2"/>
      <c r="E2" s="24"/>
    </row>
    <row r="3" spans="1:35">
      <c r="A3" s="23"/>
      <c r="B3" s="128"/>
      <c r="C3" s="128"/>
      <c r="D3" s="128"/>
      <c r="E3" s="24"/>
    </row>
    <row r="4" spans="1:35" ht="15.75" customHeight="1">
      <c r="A4" s="23"/>
      <c r="B4" s="426" t="s">
        <v>484</v>
      </c>
      <c r="C4" s="426"/>
      <c r="D4" s="426"/>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9" t="str">
        <f ca="1">OFFSET(L!$C$1,MATCH("General"&amp;"Cpy",L!$A:$A,0)-1,SL,,)</f>
        <v>© 2020 Responsible Minerals Initiative. All rights reserved.</v>
      </c>
      <c r="C1001" s="429"/>
      <c r="D1001" s="429"/>
      <c r="E1001" s="25"/>
    </row>
    <row r="1002" spans="1:35" ht="13.5" thickTop="1">
      <c r="D1002" s="105"/>
    </row>
  </sheetData>
  <sheetProtection password="C246" sheet="1" objects="1" scenarios="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0"/>
      <c r="C1" s="430"/>
      <c r="D1" s="430"/>
      <c r="E1" s="430"/>
      <c r="F1" s="430"/>
      <c r="G1" s="430"/>
    </row>
    <row r="2" spans="1:13">
      <c r="A2" s="431"/>
      <c r="B2" s="431"/>
      <c r="C2" s="431"/>
      <c r="D2" s="431"/>
      <c r="E2" s="431"/>
      <c r="F2" s="431"/>
      <c r="G2" s="431"/>
      <c r="H2" s="431"/>
      <c r="I2" s="431"/>
    </row>
    <row r="3" spans="1:13">
      <c r="A3" s="431"/>
      <c r="B3" s="431"/>
      <c r="C3" s="431"/>
      <c r="D3" s="431"/>
      <c r="E3" s="431"/>
      <c r="F3" s="431"/>
      <c r="G3" s="431"/>
      <c r="H3" s="431"/>
      <c r="I3" s="431"/>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password="C246" sheet="1" objects="1" scenarios="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2"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sheetProtection password="C246" sheet="1" objects="1" scenarios="1"/>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4MjA0OTQxMy0yZDNlLTQwODMtYTU5Mi1hYzIzZjkxNTc1MzkiIG9yaWdpbj0idXNlclNlbGVjdGVkIj48ZWxlbWVudCB1aWQ9ImVlNzFlNDNjLTY5NTItNGFhMC1iYTkzLTFjMzk4MTQzOWEwNSIgdmFsdWU9IiIgeG1sbnM9Imh0dHA6Ly93d3cuYm9sZG9uamFtZXMuY29tLzIwMDgvMDEvc2llL2ludGVybmFsL2xhYmVsIiAvPjwvc2lzbD48VXNlck5hbWU+Q09SUFxhcjAyNjkwNjwvVXNlck5hbWU+PERhdGVUaW1lPjMvMTYvMjAyMSA4OjAwOjM0IFBNPC9EYXRlVGltZT48TGFiZWxTdHJpbmc+VU5SRVNUUklDVEVEPC9MYWJlbFN0cmluZz48L2l0ZW0+PC9sYWJlbEhpc3Rvcnk+</Value>
</WrappedLabelHistory>
</file>

<file path=customXml/item5.xml><?xml version="1.0" encoding="utf-8"?>
<sisl xmlns:xsi="http://www.w3.org/2001/XMLSchema-instance" xmlns:xsd="http://www.w3.org/2001/XMLSchema" xmlns="http://www.boldonjames.com/2008/01/sie/internal/label" sislVersion="0" policy="82049413-2d3e-4083-a592-ac23f9157539" origin="userSelected">
  <element uid="ee71e43c-6952-4aa0-ba93-1c3981439a05" value=""/>
</sisl>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4.xml><?xml version="1.0" encoding="utf-8"?>
<ds:datastoreItem xmlns:ds="http://schemas.openxmlformats.org/officeDocument/2006/customXml" ds:itemID="{02A68C31-B8BF-4153-BBD6-745FA7C20A0A}">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C7EFA9D0-72D7-428D-BED5-E234BC1784C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Ashlee Raulston</cp:lastModifiedBy>
  <cp:lastPrinted>2015-04-21T20:47:43Z</cp:lastPrinted>
  <dcterms:created xsi:type="dcterms:W3CDTF">2010-06-21T21:00:23Z</dcterms:created>
  <dcterms:modified xsi:type="dcterms:W3CDTF">2021-03-16T20:01:35Z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y fmtid="{D5CDD505-2E9C-101B-9397-08002B2CF9AE}" pid="4" name="docIndexRef">
    <vt:lpwstr>eb30422f-1fb5-41a4-bfe8-37a4ae16da3b</vt:lpwstr>
  </property>
  <property fmtid="{D5CDD505-2E9C-101B-9397-08002B2CF9AE}" pid="5" name="bjDocumentLabelXML">
    <vt:lpwstr>&lt;?xml version="1.0" encoding="us-ascii"?&gt;&lt;sisl xmlns:xsi="http://www.w3.org/2001/XMLSchema-instance" xmlns:xsd="http://www.w3.org/2001/XMLSchema" sislVersion="0" policy="82049413-2d3e-4083-a592-ac23f9157539" origin="userSelected" xmlns="http://www.boldonj</vt:lpwstr>
  </property>
  <property fmtid="{D5CDD505-2E9C-101B-9397-08002B2CF9AE}" pid="6" name="bjDocumentLabelXML-0">
    <vt:lpwstr>ames.com/2008/01/sie/internal/label"&gt;&lt;element uid="ee71e43c-6952-4aa0-ba93-1c3981439a05" value="" /&gt;&lt;/sisl&gt;</vt:lpwstr>
  </property>
  <property fmtid="{D5CDD505-2E9C-101B-9397-08002B2CF9AE}" pid="7" name="bjDocumentSecurityLabel">
    <vt:lpwstr>UNRESTRICTED</vt:lpwstr>
  </property>
  <property fmtid="{D5CDD505-2E9C-101B-9397-08002B2CF9AE}" pid="8" name="bjSaver">
    <vt:lpwstr>h7EcjRmYUrnLPdUfZxbIEU0dmwNDFuc1</vt:lpwstr>
  </property>
  <property fmtid="{D5CDD505-2E9C-101B-9397-08002B2CF9AE}" pid="9" name="bjClsUserRVM">
    <vt:lpwstr>[]</vt:lpwstr>
  </property>
  <property fmtid="{D5CDD505-2E9C-101B-9397-08002B2CF9AE}" pid="10" name="bjLabelHistoryID">
    <vt:lpwstr>{02A68C31-B8BF-4153-BBD6-745FA7C20A0A}</vt:lpwstr>
  </property>
</Properties>
</file>